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35" windowWidth="14295" windowHeight="6525" firstSheet="11" activeTab="11"/>
  </bookViews>
  <sheets>
    <sheet name="отчет по 2 за январь " sheetId="5" r:id="rId1"/>
    <sheet name="отчет по 2 за февраль " sheetId="6" r:id="rId2"/>
    <sheet name="отчет по 2 за март" sheetId="21" r:id="rId3"/>
    <sheet name="отчет по 2 за апрель" sheetId="22" r:id="rId4"/>
    <sheet name="отчет по 2 за май" sheetId="23" r:id="rId5"/>
    <sheet name="отчет по 2 за июнь" sheetId="27" r:id="rId6"/>
    <sheet name="отчет по 2 за июль " sheetId="31" r:id="rId7"/>
    <sheet name="отчет по 2 за август" sheetId="33" r:id="rId8"/>
    <sheet name="отчет по 2 за сентябрь" sheetId="35" r:id="rId9"/>
    <sheet name="отчет по 2 за октябрь" sheetId="36" r:id="rId10"/>
    <sheet name="отчет по 2 за ноябрь" sheetId="40" r:id="rId11"/>
    <sheet name="отчет по 4 за январь 13г" sheetId="7" r:id="rId12"/>
    <sheet name="отчет по 4 за февраль 13г " sheetId="17" r:id="rId13"/>
    <sheet name="отчет по 4 за март 13г " sheetId="19" r:id="rId14"/>
    <sheet name="отчет по 4 за апрель 13г" sheetId="25" r:id="rId15"/>
    <sheet name="отчет по 4 за май 13г " sheetId="26" r:id="rId16"/>
    <sheet name="отчет по 4 за июнь 13г " sheetId="28" r:id="rId17"/>
    <sheet name="отчет по 4 за июль 13г" sheetId="29" r:id="rId18"/>
    <sheet name="отчет по 4 за август 13г" sheetId="30" r:id="rId19"/>
    <sheet name="отчет по 4 за сентябрь 13г " sheetId="37" r:id="rId20"/>
    <sheet name="отчет по 4 за октябрь 13г  " sheetId="38" r:id="rId21"/>
    <sheet name="отчет по 4 за ноябрь 13г" sheetId="39" r:id="rId22"/>
    <sheet name="отчет по 4 за декабрь 13г " sheetId="41" r:id="rId23"/>
  </sheets>
  <calcPr calcId="145621" refMode="R1C1"/>
</workbook>
</file>

<file path=xl/calcChain.xml><?xml version="1.0" encoding="utf-8"?>
<calcChain xmlns="http://schemas.openxmlformats.org/spreadsheetml/2006/main">
  <c r="H51" i="41" l="1"/>
  <c r="I51" i="41"/>
  <c r="G51" i="41" s="1"/>
  <c r="G48" i="41" s="1"/>
  <c r="H50" i="41"/>
  <c r="H48" i="41" s="1"/>
  <c r="I50" i="41"/>
  <c r="I47" i="41"/>
  <c r="G47" i="41" s="1"/>
  <c r="G46" i="41"/>
  <c r="H44" i="41"/>
  <c r="G44" i="41"/>
  <c r="I43" i="41"/>
  <c r="I42" i="41"/>
  <c r="I41" i="41"/>
  <c r="I40" i="41"/>
  <c r="G40" i="41" s="1"/>
  <c r="I39" i="41"/>
  <c r="H36" i="41"/>
  <c r="H32" i="41" s="1"/>
  <c r="I36" i="41"/>
  <c r="I35" i="41"/>
  <c r="H34" i="41"/>
  <c r="G34" i="41" s="1"/>
  <c r="I34" i="41"/>
  <c r="E44" i="41"/>
  <c r="F51" i="41"/>
  <c r="D51" i="41" s="1"/>
  <c r="D48" i="41" s="1"/>
  <c r="D46" i="41"/>
  <c r="D44" i="41" s="1"/>
  <c r="H28" i="41"/>
  <c r="E28" i="41"/>
  <c r="I28" i="41"/>
  <c r="G50" i="41"/>
  <c r="D50" i="41"/>
  <c r="I48" i="41"/>
  <c r="F48" i="41"/>
  <c r="E48" i="41"/>
  <c r="D47" i="41"/>
  <c r="H43" i="41"/>
  <c r="G43" i="41"/>
  <c r="D43" i="41"/>
  <c r="G42" i="41"/>
  <c r="D42" i="41"/>
  <c r="G41" i="41"/>
  <c r="D41" i="41"/>
  <c r="D40" i="41"/>
  <c r="G39" i="41"/>
  <c r="D39" i="41"/>
  <c r="H37" i="41"/>
  <c r="F37" i="41"/>
  <c r="E37" i="41"/>
  <c r="G36" i="41"/>
  <c r="D36" i="41"/>
  <c r="G35" i="41"/>
  <c r="D35" i="41"/>
  <c r="D34" i="41"/>
  <c r="F32" i="41"/>
  <c r="E32" i="41"/>
  <c r="D32" i="41"/>
  <c r="G28" i="41"/>
  <c r="D28" i="41"/>
  <c r="G27" i="41"/>
  <c r="D27" i="41"/>
  <c r="G26" i="41"/>
  <c r="H51" i="39"/>
  <c r="I51" i="39"/>
  <c r="I50" i="39"/>
  <c r="I51" i="38"/>
  <c r="I50" i="38"/>
  <c r="H51" i="37"/>
  <c r="I51" i="37"/>
  <c r="I50" i="37"/>
  <c r="I50" i="30"/>
  <c r="H30" i="41" l="1"/>
  <c r="I37" i="41"/>
  <c r="G37" i="41"/>
  <c r="I32" i="41"/>
  <c r="I30" i="41" s="1"/>
  <c r="I52" i="41" s="1"/>
  <c r="G32" i="41"/>
  <c r="G30" i="41" s="1"/>
  <c r="G52" i="41" s="1"/>
  <c r="F30" i="41"/>
  <c r="F52" i="41" s="1"/>
  <c r="D37" i="41"/>
  <c r="E30" i="41"/>
  <c r="E52" i="41" s="1"/>
  <c r="H52" i="41"/>
  <c r="I50" i="29"/>
  <c r="I50" i="28"/>
  <c r="I50" i="26"/>
  <c r="I50" i="25"/>
  <c r="D30" i="41" l="1"/>
  <c r="D52" i="41" s="1"/>
  <c r="I50" i="19"/>
  <c r="H30" i="40" l="1"/>
  <c r="I30" i="40"/>
  <c r="H53" i="40"/>
  <c r="I53" i="40"/>
  <c r="D53" i="40"/>
  <c r="G53" i="40" l="1"/>
  <c r="H52" i="40"/>
  <c r="G52" i="40"/>
  <c r="I50" i="40"/>
  <c r="F50" i="40"/>
  <c r="E50" i="40"/>
  <c r="D50" i="40" s="1"/>
  <c r="H49" i="40"/>
  <c r="G49" i="40" s="1"/>
  <c r="D49" i="40"/>
  <c r="G48" i="40"/>
  <c r="I46" i="40"/>
  <c r="I32" i="40" s="1"/>
  <c r="H46" i="40"/>
  <c r="G46" i="40"/>
  <c r="F46" i="40"/>
  <c r="E46" i="40"/>
  <c r="D46" i="40"/>
  <c r="G45" i="40"/>
  <c r="D45" i="40"/>
  <c r="G44" i="40"/>
  <c r="G42" i="40"/>
  <c r="G40" i="40"/>
  <c r="I39" i="40"/>
  <c r="H39" i="40"/>
  <c r="G39" i="40" s="1"/>
  <c r="F39" i="40"/>
  <c r="E39" i="40"/>
  <c r="D39" i="40"/>
  <c r="H38" i="40"/>
  <c r="G38" i="40"/>
  <c r="H36" i="40"/>
  <c r="G36" i="40" s="1"/>
  <c r="I34" i="40"/>
  <c r="H34" i="40"/>
  <c r="G34" i="40" s="1"/>
  <c r="F34" i="40"/>
  <c r="E34" i="40"/>
  <c r="D34" i="40"/>
  <c r="F32" i="40"/>
  <c r="D30" i="40"/>
  <c r="I29" i="40"/>
  <c r="H29" i="40"/>
  <c r="F29" i="40"/>
  <c r="F54" i="40" s="1"/>
  <c r="E29" i="40"/>
  <c r="G28" i="40"/>
  <c r="G29" i="40" s="1"/>
  <c r="D28" i="40"/>
  <c r="G26" i="40"/>
  <c r="D26" i="40"/>
  <c r="I54" i="40" l="1"/>
  <c r="E32" i="40"/>
  <c r="E54" i="40" s="1"/>
  <c r="D32" i="40"/>
  <c r="D29" i="40"/>
  <c r="G30" i="40"/>
  <c r="H50" i="40"/>
  <c r="H50" i="39"/>
  <c r="H48" i="39" s="1"/>
  <c r="H43" i="39"/>
  <c r="H37" i="39" s="1"/>
  <c r="I43" i="39"/>
  <c r="I42" i="39"/>
  <c r="I41" i="39"/>
  <c r="I40" i="39"/>
  <c r="G40" i="39" s="1"/>
  <c r="I39" i="39"/>
  <c r="I36" i="39"/>
  <c r="I35" i="39"/>
  <c r="G35" i="39" s="1"/>
  <c r="H34" i="39"/>
  <c r="G34" i="39" s="1"/>
  <c r="I34" i="39"/>
  <c r="H28" i="39"/>
  <c r="I28" i="39"/>
  <c r="D51" i="39"/>
  <c r="G50" i="39"/>
  <c r="D50" i="39"/>
  <c r="I48" i="39"/>
  <c r="F48" i="39"/>
  <c r="E48" i="39"/>
  <c r="I47" i="39"/>
  <c r="G47" i="39" s="1"/>
  <c r="D47" i="39"/>
  <c r="G44" i="39"/>
  <c r="D44" i="39"/>
  <c r="D43" i="39"/>
  <c r="G42" i="39"/>
  <c r="D42" i="39"/>
  <c r="G41" i="39"/>
  <c r="D41" i="39"/>
  <c r="D40" i="39"/>
  <c r="G39" i="39"/>
  <c r="D39" i="39"/>
  <c r="F37" i="39"/>
  <c r="E37" i="39"/>
  <c r="H36" i="39"/>
  <c r="G36" i="39" s="1"/>
  <c r="D36" i="39"/>
  <c r="D35" i="39"/>
  <c r="D34" i="39"/>
  <c r="I32" i="39"/>
  <c r="F32" i="39"/>
  <c r="E32" i="39"/>
  <c r="G28" i="39"/>
  <c r="D28" i="39"/>
  <c r="G27" i="39"/>
  <c r="D27" i="39"/>
  <c r="G26" i="39"/>
  <c r="D54" i="40" l="1"/>
  <c r="G50" i="40"/>
  <c r="H32" i="40"/>
  <c r="G51" i="39"/>
  <c r="G48" i="39" s="1"/>
  <c r="G43" i="39"/>
  <c r="G37" i="39" s="1"/>
  <c r="G32" i="39"/>
  <c r="E30" i="39"/>
  <c r="E52" i="39" s="1"/>
  <c r="D37" i="39"/>
  <c r="D32" i="39"/>
  <c r="D48" i="39"/>
  <c r="F30" i="39"/>
  <c r="F52" i="39" s="1"/>
  <c r="H32" i="39"/>
  <c r="H30" i="39" s="1"/>
  <c r="H52" i="39" s="1"/>
  <c r="I37" i="39"/>
  <c r="I30" i="39" s="1"/>
  <c r="I52" i="39" s="1"/>
  <c r="I47" i="38"/>
  <c r="H43" i="38"/>
  <c r="I43" i="38"/>
  <c r="I42" i="38"/>
  <c r="I41" i="38"/>
  <c r="I40" i="38"/>
  <c r="I39" i="38"/>
  <c r="H36" i="38"/>
  <c r="I36" i="38"/>
  <c r="I35" i="38"/>
  <c r="H34" i="38"/>
  <c r="I34" i="38"/>
  <c r="G32" i="40" l="1"/>
  <c r="G54" i="40" s="1"/>
  <c r="H54" i="40"/>
  <c r="G30" i="39"/>
  <c r="G52" i="39" s="1"/>
  <c r="D30" i="39"/>
  <c r="D52" i="39" s="1"/>
  <c r="G35" i="38"/>
  <c r="I28" i="38"/>
  <c r="H28" i="38"/>
  <c r="H53" i="36" l="1"/>
  <c r="H52" i="36"/>
  <c r="H49" i="36"/>
  <c r="H38" i="36"/>
  <c r="H36" i="36"/>
  <c r="I30" i="36"/>
  <c r="H30" i="36"/>
  <c r="H50" i="38" l="1"/>
  <c r="G51" i="38" l="1"/>
  <c r="D51" i="38"/>
  <c r="G50" i="38"/>
  <c r="D50" i="38"/>
  <c r="D48" i="38" s="1"/>
  <c r="I48" i="38"/>
  <c r="H48" i="38"/>
  <c r="G48" i="38"/>
  <c r="F48" i="38"/>
  <c r="G47" i="38"/>
  <c r="D47" i="38"/>
  <c r="G44" i="38"/>
  <c r="D44" i="38"/>
  <c r="G43" i="38"/>
  <c r="D43" i="38"/>
  <c r="G42" i="38"/>
  <c r="G37" i="38" s="1"/>
  <c r="D42" i="38"/>
  <c r="G41" i="38"/>
  <c r="D41" i="38"/>
  <c r="G40" i="38"/>
  <c r="D40" i="38"/>
  <c r="G39" i="38"/>
  <c r="D39" i="38"/>
  <c r="I37" i="38"/>
  <c r="H37" i="38"/>
  <c r="F37" i="38"/>
  <c r="E37" i="38"/>
  <c r="G36" i="38"/>
  <c r="G32" i="38" s="1"/>
  <c r="D36" i="38"/>
  <c r="D35" i="38"/>
  <c r="G34" i="38"/>
  <c r="D34" i="38"/>
  <c r="I32" i="38"/>
  <c r="H32" i="38"/>
  <c r="F32" i="38"/>
  <c r="E32" i="38"/>
  <c r="G28" i="38"/>
  <c r="D28" i="38"/>
  <c r="G27" i="38"/>
  <c r="D27" i="38"/>
  <c r="G26" i="38"/>
  <c r="E50" i="37"/>
  <c r="E36" i="37"/>
  <c r="E34" i="37"/>
  <c r="D36" i="37"/>
  <c r="G51" i="37"/>
  <c r="G48" i="37" s="1"/>
  <c r="D51" i="37"/>
  <c r="G50" i="37"/>
  <c r="D50" i="37"/>
  <c r="I48" i="37"/>
  <c r="H48" i="37"/>
  <c r="F48" i="37"/>
  <c r="G47" i="37"/>
  <c r="D47" i="37"/>
  <c r="G44" i="37"/>
  <c r="D44" i="37"/>
  <c r="G43" i="37"/>
  <c r="D43" i="37"/>
  <c r="G42" i="37"/>
  <c r="D42" i="37"/>
  <c r="G41" i="37"/>
  <c r="D41" i="37"/>
  <c r="G40" i="37"/>
  <c r="D40" i="37"/>
  <c r="G39" i="37"/>
  <c r="G37" i="37" s="1"/>
  <c r="D39" i="37"/>
  <c r="H37" i="37"/>
  <c r="F37" i="37"/>
  <c r="E37" i="37"/>
  <c r="G36" i="37"/>
  <c r="G35" i="37"/>
  <c r="D35" i="37"/>
  <c r="G34" i="37"/>
  <c r="D34" i="37"/>
  <c r="I32" i="37"/>
  <c r="H32" i="37"/>
  <c r="G32" i="37"/>
  <c r="F32" i="37"/>
  <c r="F30" i="37" s="1"/>
  <c r="G28" i="37"/>
  <c r="D28" i="37"/>
  <c r="G27" i="37"/>
  <c r="D27" i="37"/>
  <c r="G26" i="37"/>
  <c r="E34" i="30"/>
  <c r="G26" i="30"/>
  <c r="D26" i="29"/>
  <c r="G26" i="29"/>
  <c r="D26" i="28"/>
  <c r="G26" i="28"/>
  <c r="D26" i="26"/>
  <c r="G26" i="26"/>
  <c r="D26" i="25"/>
  <c r="G26" i="25"/>
  <c r="D26" i="19"/>
  <c r="G26" i="19"/>
  <c r="D26" i="17"/>
  <c r="G26" i="17"/>
  <c r="G26" i="7"/>
  <c r="I30" i="38" l="1"/>
  <c r="I52" i="38" s="1"/>
  <c r="D32" i="38"/>
  <c r="H30" i="38"/>
  <c r="H52" i="38" s="1"/>
  <c r="G30" i="38"/>
  <c r="F30" i="38"/>
  <c r="F52" i="38" s="1"/>
  <c r="G52" i="38"/>
  <c r="D37" i="38"/>
  <c r="E48" i="38"/>
  <c r="E30" i="38" s="1"/>
  <c r="H30" i="37"/>
  <c r="H52" i="37" s="1"/>
  <c r="G30" i="37"/>
  <c r="E48" i="37"/>
  <c r="D32" i="37"/>
  <c r="E32" i="37"/>
  <c r="E30" i="37" s="1"/>
  <c r="E52" i="37" s="1"/>
  <c r="D48" i="37"/>
  <c r="F52" i="37"/>
  <c r="G52" i="37"/>
  <c r="D37" i="37"/>
  <c r="I37" i="37"/>
  <c r="I30" i="37" s="1"/>
  <c r="I52" i="37" s="1"/>
  <c r="G29" i="36"/>
  <c r="H29" i="36"/>
  <c r="G53" i="36"/>
  <c r="D53" i="36"/>
  <c r="G52" i="36"/>
  <c r="D52" i="36"/>
  <c r="I50" i="36"/>
  <c r="H50" i="36"/>
  <c r="G50" i="36" s="1"/>
  <c r="F50" i="36"/>
  <c r="E50" i="36"/>
  <c r="G49" i="36"/>
  <c r="D49" i="36"/>
  <c r="G48" i="36"/>
  <c r="I46" i="36"/>
  <c r="H46" i="36"/>
  <c r="G46" i="36" s="1"/>
  <c r="F46" i="36"/>
  <c r="E46" i="36"/>
  <c r="D46" i="36"/>
  <c r="G45" i="36"/>
  <c r="D45" i="36"/>
  <c r="D39" i="36" s="1"/>
  <c r="G44" i="36"/>
  <c r="G42" i="36"/>
  <c r="G40" i="36"/>
  <c r="I39" i="36"/>
  <c r="H39" i="36"/>
  <c r="G39" i="36"/>
  <c r="F39" i="36"/>
  <c r="E39" i="36"/>
  <c r="G38" i="36"/>
  <c r="D38" i="36"/>
  <c r="G36" i="36"/>
  <c r="D36" i="36"/>
  <c r="I34" i="36"/>
  <c r="H34" i="36"/>
  <c r="G34" i="36" s="1"/>
  <c r="F34" i="36"/>
  <c r="E34" i="36"/>
  <c r="D34" i="36"/>
  <c r="I32" i="36"/>
  <c r="I54" i="36" s="1"/>
  <c r="G30" i="36"/>
  <c r="D30" i="36"/>
  <c r="I29" i="36"/>
  <c r="F29" i="36"/>
  <c r="E29" i="36"/>
  <c r="G28" i="36"/>
  <c r="D28" i="36"/>
  <c r="G26" i="36"/>
  <c r="D26" i="36"/>
  <c r="D50" i="36" l="1"/>
  <c r="E32" i="36"/>
  <c r="F32" i="36"/>
  <c r="F54" i="36" s="1"/>
  <c r="E54" i="36"/>
  <c r="D32" i="36"/>
  <c r="D30" i="38"/>
  <c r="D52" i="38" s="1"/>
  <c r="E52" i="38"/>
  <c r="D30" i="37"/>
  <c r="D52" i="37" s="1"/>
  <c r="D29" i="36"/>
  <c r="D54" i="36" s="1"/>
  <c r="H32" i="36"/>
  <c r="G32" i="36" s="1"/>
  <c r="G54" i="36" s="1"/>
  <c r="G53" i="35"/>
  <c r="D53" i="35"/>
  <c r="G52" i="35"/>
  <c r="D52" i="35"/>
  <c r="I50" i="35"/>
  <c r="H50" i="35"/>
  <c r="G50" i="35"/>
  <c r="F50" i="35"/>
  <c r="E50" i="35"/>
  <c r="H49" i="35"/>
  <c r="G49" i="35" s="1"/>
  <c r="D49" i="35"/>
  <c r="G48" i="35"/>
  <c r="I46" i="35"/>
  <c r="I32" i="35" s="1"/>
  <c r="I54" i="35" s="1"/>
  <c r="H46" i="35"/>
  <c r="G46" i="35"/>
  <c r="F46" i="35"/>
  <c r="E46" i="35"/>
  <c r="D46" i="35"/>
  <c r="G45" i="35"/>
  <c r="D45" i="35"/>
  <c r="G44" i="35"/>
  <c r="G42" i="35"/>
  <c r="G40" i="35"/>
  <c r="I39" i="35"/>
  <c r="H39" i="35"/>
  <c r="G39" i="35" s="1"/>
  <c r="F39" i="35"/>
  <c r="E39" i="35"/>
  <c r="D39" i="35"/>
  <c r="G38" i="35"/>
  <c r="D38" i="35"/>
  <c r="G36" i="35"/>
  <c r="D36" i="35"/>
  <c r="D34" i="35" s="1"/>
  <c r="I34" i="35"/>
  <c r="H34" i="35"/>
  <c r="G34" i="35" s="1"/>
  <c r="F34" i="35"/>
  <c r="E34" i="35"/>
  <c r="F32" i="35"/>
  <c r="H30" i="35"/>
  <c r="G30" i="35"/>
  <c r="D30" i="35"/>
  <c r="I29" i="35"/>
  <c r="H29" i="35"/>
  <c r="F29" i="35"/>
  <c r="F54" i="35" s="1"/>
  <c r="E29" i="35"/>
  <c r="G28" i="35"/>
  <c r="G29" i="35" s="1"/>
  <c r="D28" i="35"/>
  <c r="G26" i="35"/>
  <c r="D26" i="35"/>
  <c r="G26" i="31"/>
  <c r="D26" i="27"/>
  <c r="D26" i="23"/>
  <c r="G26" i="23"/>
  <c r="D26" i="21"/>
  <c r="G26" i="21"/>
  <c r="G26" i="6"/>
  <c r="D26" i="6"/>
  <c r="D26" i="5"/>
  <c r="G26" i="5"/>
  <c r="I32" i="27"/>
  <c r="G26" i="33"/>
  <c r="D26" i="33"/>
  <c r="H54" i="36" l="1"/>
  <c r="H32" i="35"/>
  <c r="H54" i="35" s="1"/>
  <c r="D50" i="35"/>
  <c r="E32" i="35"/>
  <c r="E54" i="35" s="1"/>
  <c r="D32" i="35"/>
  <c r="D29" i="35"/>
  <c r="G53" i="33"/>
  <c r="D53" i="33"/>
  <c r="G52" i="33"/>
  <c r="D52" i="33"/>
  <c r="I50" i="33"/>
  <c r="I32" i="33" s="1"/>
  <c r="I54" i="33" s="1"/>
  <c r="H50" i="33"/>
  <c r="G50" i="33"/>
  <c r="F50" i="33"/>
  <c r="E50" i="33"/>
  <c r="H49" i="33"/>
  <c r="G49" i="33" s="1"/>
  <c r="D49" i="33"/>
  <c r="G48" i="33"/>
  <c r="I46" i="33"/>
  <c r="H46" i="33"/>
  <c r="G46" i="33"/>
  <c r="F46" i="33"/>
  <c r="E46" i="33"/>
  <c r="D46" i="33"/>
  <c r="G45" i="33"/>
  <c r="D45" i="33"/>
  <c r="G44" i="33"/>
  <c r="G42" i="33"/>
  <c r="G40" i="33"/>
  <c r="I39" i="33"/>
  <c r="H39" i="33"/>
  <c r="G39" i="33" s="1"/>
  <c r="F39" i="33"/>
  <c r="E39" i="33"/>
  <c r="E32" i="33" s="1"/>
  <c r="D39" i="33"/>
  <c r="G38" i="33"/>
  <c r="D38" i="33"/>
  <c r="G36" i="33"/>
  <c r="D36" i="33"/>
  <c r="I34" i="33"/>
  <c r="H34" i="33"/>
  <c r="G34" i="33" s="1"/>
  <c r="F34" i="33"/>
  <c r="E34" i="33"/>
  <c r="D34" i="33"/>
  <c r="F32" i="33"/>
  <c r="H30" i="33"/>
  <c r="D30" i="33"/>
  <c r="I29" i="33"/>
  <c r="H29" i="33"/>
  <c r="F29" i="33"/>
  <c r="E29" i="33"/>
  <c r="G28" i="33"/>
  <c r="G29" i="33" s="1"/>
  <c r="D28" i="33"/>
  <c r="G32" i="35" l="1"/>
  <c r="G54" i="35" s="1"/>
  <c r="D54" i="35"/>
  <c r="H32" i="33"/>
  <c r="G32" i="33" s="1"/>
  <c r="D50" i="33"/>
  <c r="D32" i="33" s="1"/>
  <c r="F54" i="33"/>
  <c r="E54" i="33"/>
  <c r="D29" i="33"/>
  <c r="G30" i="33"/>
  <c r="I34" i="31"/>
  <c r="G53" i="31"/>
  <c r="H52" i="31"/>
  <c r="H49" i="31"/>
  <c r="G49" i="31" s="1"/>
  <c r="G39" i="31"/>
  <c r="G45" i="31"/>
  <c r="H36" i="31"/>
  <c r="G36" i="31" s="1"/>
  <c r="D45" i="31"/>
  <c r="H30" i="31"/>
  <c r="I30" i="31"/>
  <c r="D53" i="31"/>
  <c r="G52" i="31"/>
  <c r="D52" i="31"/>
  <c r="I50" i="31"/>
  <c r="I32" i="31" s="1"/>
  <c r="F50" i="31"/>
  <c r="E50" i="31"/>
  <c r="D50" i="31" s="1"/>
  <c r="D49" i="31"/>
  <c r="G48" i="31"/>
  <c r="I46" i="31"/>
  <c r="H46" i="31"/>
  <c r="G46" i="31" s="1"/>
  <c r="F46" i="31"/>
  <c r="E46" i="31"/>
  <c r="D46" i="31"/>
  <c r="G44" i="31"/>
  <c r="G42" i="31"/>
  <c r="G40" i="31"/>
  <c r="I39" i="31"/>
  <c r="H39" i="31"/>
  <c r="F39" i="31"/>
  <c r="E39" i="31"/>
  <c r="D39" i="31"/>
  <c r="H38" i="31"/>
  <c r="G38" i="31"/>
  <c r="D38" i="31"/>
  <c r="D36" i="31"/>
  <c r="D34" i="31" s="1"/>
  <c r="H34" i="31"/>
  <c r="F34" i="31"/>
  <c r="E34" i="31"/>
  <c r="F32" i="31"/>
  <c r="D30" i="31"/>
  <c r="F29" i="31"/>
  <c r="F54" i="31" s="1"/>
  <c r="E29" i="31"/>
  <c r="G28" i="31"/>
  <c r="G29" i="31" s="1"/>
  <c r="D28" i="31"/>
  <c r="G51" i="30"/>
  <c r="D51" i="30"/>
  <c r="H50" i="30"/>
  <c r="G50" i="30"/>
  <c r="D50" i="30"/>
  <c r="I48" i="30"/>
  <c r="H48" i="30"/>
  <c r="F48" i="30"/>
  <c r="E48" i="30"/>
  <c r="G47" i="30"/>
  <c r="D47" i="30"/>
  <c r="G44" i="30"/>
  <c r="D44" i="30"/>
  <c r="G43" i="30"/>
  <c r="D43" i="30"/>
  <c r="G42" i="30"/>
  <c r="D42" i="30"/>
  <c r="G41" i="30"/>
  <c r="D41" i="30"/>
  <c r="G40" i="30"/>
  <c r="D40" i="30"/>
  <c r="I39" i="30"/>
  <c r="G39" i="30"/>
  <c r="D39" i="30"/>
  <c r="I37" i="30"/>
  <c r="H37" i="30"/>
  <c r="F37" i="30"/>
  <c r="E37" i="30"/>
  <c r="G36" i="30"/>
  <c r="D36" i="30"/>
  <c r="G35" i="30"/>
  <c r="D35" i="30"/>
  <c r="G34" i="30"/>
  <c r="D34" i="30"/>
  <c r="I32" i="30"/>
  <c r="H32" i="30"/>
  <c r="F32" i="30"/>
  <c r="E32" i="30"/>
  <c r="I30" i="30"/>
  <c r="I52" i="30" s="1"/>
  <c r="H30" i="30"/>
  <c r="G28" i="30"/>
  <c r="G27" i="30"/>
  <c r="D27" i="30"/>
  <c r="H51" i="29"/>
  <c r="I51" i="29"/>
  <c r="I47" i="29"/>
  <c r="I43" i="29"/>
  <c r="I42" i="29"/>
  <c r="I41" i="29"/>
  <c r="I39" i="29"/>
  <c r="H36" i="29"/>
  <c r="I36" i="29"/>
  <c r="I35" i="29"/>
  <c r="H34" i="29"/>
  <c r="I34" i="29"/>
  <c r="E51" i="29"/>
  <c r="F51" i="29"/>
  <c r="H28" i="29"/>
  <c r="I28" i="29"/>
  <c r="E28" i="29"/>
  <c r="G48" i="30" l="1"/>
  <c r="G37" i="30"/>
  <c r="G32" i="30"/>
  <c r="E30" i="30"/>
  <c r="E52" i="30" s="1"/>
  <c r="D48" i="30"/>
  <c r="F30" i="30"/>
  <c r="F52" i="30" s="1"/>
  <c r="D37" i="30"/>
  <c r="D32" i="30"/>
  <c r="D54" i="33"/>
  <c r="D29" i="31"/>
  <c r="I54" i="31"/>
  <c r="G54" i="33"/>
  <c r="H54" i="33"/>
  <c r="G34" i="31"/>
  <c r="H50" i="31"/>
  <c r="G50" i="31" s="1"/>
  <c r="E32" i="31"/>
  <c r="E54" i="31" s="1"/>
  <c r="D32" i="31"/>
  <c r="G30" i="31"/>
  <c r="H52" i="30"/>
  <c r="D28" i="30"/>
  <c r="G51" i="29"/>
  <c r="D51" i="29"/>
  <c r="H50" i="29"/>
  <c r="G50" i="29" s="1"/>
  <c r="D50" i="29"/>
  <c r="I48" i="29"/>
  <c r="H48" i="29"/>
  <c r="F48" i="29"/>
  <c r="E48" i="29"/>
  <c r="D48" i="29"/>
  <c r="G47" i="29"/>
  <c r="D47" i="29"/>
  <c r="G44" i="29"/>
  <c r="D44" i="29"/>
  <c r="G43" i="29"/>
  <c r="D43" i="29"/>
  <c r="G42" i="29"/>
  <c r="G37" i="29" s="1"/>
  <c r="D42" i="29"/>
  <c r="G41" i="29"/>
  <c r="D41" i="29"/>
  <c r="G40" i="29"/>
  <c r="D40" i="29"/>
  <c r="G39" i="29"/>
  <c r="D39" i="29"/>
  <c r="I37" i="29"/>
  <c r="H37" i="29"/>
  <c r="F37" i="29"/>
  <c r="E37" i="29"/>
  <c r="G36" i="29"/>
  <c r="D36" i="29"/>
  <c r="D32" i="29" s="1"/>
  <c r="G35" i="29"/>
  <c r="D35" i="29"/>
  <c r="G34" i="29"/>
  <c r="D34" i="29"/>
  <c r="I32" i="29"/>
  <c r="H32" i="29"/>
  <c r="H30" i="29" s="1"/>
  <c r="G32" i="29"/>
  <c r="F32" i="29"/>
  <c r="E32" i="29"/>
  <c r="G28" i="29"/>
  <c r="D28" i="29"/>
  <c r="G27" i="29"/>
  <c r="D27" i="29"/>
  <c r="H51" i="28"/>
  <c r="I51" i="28"/>
  <c r="I47" i="28"/>
  <c r="I43" i="28"/>
  <c r="I42" i="28"/>
  <c r="I41" i="28"/>
  <c r="I39" i="28"/>
  <c r="H36" i="28"/>
  <c r="I36" i="28"/>
  <c r="I35" i="28"/>
  <c r="H34" i="28"/>
  <c r="I34" i="28"/>
  <c r="H28" i="28"/>
  <c r="I28" i="28"/>
  <c r="E28" i="28"/>
  <c r="F28" i="28"/>
  <c r="G30" i="30" l="1"/>
  <c r="G52" i="30" s="1"/>
  <c r="D30" i="30"/>
  <c r="D52" i="30" s="1"/>
  <c r="D54" i="31"/>
  <c r="H32" i="31"/>
  <c r="G32" i="31" s="1"/>
  <c r="G54" i="31" s="1"/>
  <c r="G48" i="29"/>
  <c r="I30" i="29"/>
  <c r="I52" i="29" s="1"/>
  <c r="G30" i="29"/>
  <c r="G52" i="29" s="1"/>
  <c r="E30" i="29"/>
  <c r="E52" i="29" s="1"/>
  <c r="F30" i="29"/>
  <c r="F52" i="29" s="1"/>
  <c r="D37" i="29"/>
  <c r="H52" i="29"/>
  <c r="H54" i="31" l="1"/>
  <c r="D30" i="29"/>
  <c r="D52" i="29" s="1"/>
  <c r="G51" i="28"/>
  <c r="D51" i="28"/>
  <c r="H50" i="28"/>
  <c r="G50" i="28"/>
  <c r="D50" i="28"/>
  <c r="I48" i="28"/>
  <c r="H48" i="28"/>
  <c r="G48" i="28"/>
  <c r="F48" i="28"/>
  <c r="E48" i="28"/>
  <c r="D48" i="28"/>
  <c r="G47" i="28"/>
  <c r="D47" i="28"/>
  <c r="G44" i="28"/>
  <c r="D44" i="28"/>
  <c r="G43" i="28"/>
  <c r="D43" i="28"/>
  <c r="G42" i="28"/>
  <c r="D42" i="28"/>
  <c r="G41" i="28"/>
  <c r="D41" i="28"/>
  <c r="G40" i="28"/>
  <c r="D40" i="28"/>
  <c r="G39" i="28"/>
  <c r="D39" i="28"/>
  <c r="I37" i="28"/>
  <c r="I30" i="28" s="1"/>
  <c r="I52" i="28" s="1"/>
  <c r="H37" i="28"/>
  <c r="F37" i="28"/>
  <c r="E37" i="28"/>
  <c r="G36" i="28"/>
  <c r="D36" i="28"/>
  <c r="G35" i="28"/>
  <c r="D35" i="28"/>
  <c r="G34" i="28"/>
  <c r="D34" i="28"/>
  <c r="D32" i="28" s="1"/>
  <c r="I32" i="28"/>
  <c r="H32" i="28"/>
  <c r="F32" i="28"/>
  <c r="E32" i="28"/>
  <c r="E30" i="28" s="1"/>
  <c r="E52" i="28" s="1"/>
  <c r="H30" i="28"/>
  <c r="H52" i="28" s="1"/>
  <c r="G28" i="28"/>
  <c r="D28" i="28"/>
  <c r="G27" i="28"/>
  <c r="D27" i="28"/>
  <c r="H52" i="27"/>
  <c r="H38" i="27"/>
  <c r="H36" i="27"/>
  <c r="H30" i="27"/>
  <c r="G53" i="27"/>
  <c r="D53" i="27"/>
  <c r="G52" i="27"/>
  <c r="D52" i="27"/>
  <c r="I50" i="27"/>
  <c r="H50" i="27"/>
  <c r="G50" i="27" s="1"/>
  <c r="F50" i="27"/>
  <c r="E50" i="27"/>
  <c r="D50" i="27" s="1"/>
  <c r="G49" i="27"/>
  <c r="D49" i="27"/>
  <c r="G48" i="27"/>
  <c r="I46" i="27"/>
  <c r="H46" i="27"/>
  <c r="G46" i="27" s="1"/>
  <c r="F46" i="27"/>
  <c r="E46" i="27"/>
  <c r="D46" i="27"/>
  <c r="G44" i="27"/>
  <c r="G42" i="27"/>
  <c r="G40" i="27"/>
  <c r="I39" i="27"/>
  <c r="H39" i="27"/>
  <c r="F39" i="27"/>
  <c r="E39" i="27"/>
  <c r="D39" i="27"/>
  <c r="G38" i="27"/>
  <c r="D38" i="27"/>
  <c r="G36" i="27"/>
  <c r="D36" i="27"/>
  <c r="I34" i="27"/>
  <c r="H34" i="27"/>
  <c r="G34" i="27" s="1"/>
  <c r="F34" i="27"/>
  <c r="F32" i="27" s="1"/>
  <c r="E34" i="27"/>
  <c r="I30" i="27"/>
  <c r="I54" i="27" s="1"/>
  <c r="G30" i="27"/>
  <c r="D30" i="27"/>
  <c r="I29" i="27"/>
  <c r="H29" i="27"/>
  <c r="F29" i="27"/>
  <c r="F54" i="27" s="1"/>
  <c r="E29" i="27"/>
  <c r="D29" i="27"/>
  <c r="G28" i="27"/>
  <c r="G29" i="27" s="1"/>
  <c r="D28" i="27"/>
  <c r="H53" i="23"/>
  <c r="G49" i="23"/>
  <c r="H38" i="23"/>
  <c r="H36" i="23"/>
  <c r="H30" i="23"/>
  <c r="I30" i="23"/>
  <c r="D49" i="23"/>
  <c r="E30" i="23"/>
  <c r="H51" i="26"/>
  <c r="I51" i="26"/>
  <c r="H50" i="26"/>
  <c r="I47" i="26"/>
  <c r="I43" i="26"/>
  <c r="I42" i="26"/>
  <c r="I41" i="26"/>
  <c r="I39" i="26"/>
  <c r="H36" i="26"/>
  <c r="I36" i="26"/>
  <c r="I35" i="26"/>
  <c r="H34" i="26"/>
  <c r="I34" i="26"/>
  <c r="H28" i="26"/>
  <c r="I28" i="26"/>
  <c r="E28" i="26"/>
  <c r="G37" i="28" l="1"/>
  <c r="G30" i="28" s="1"/>
  <c r="G52" i="28" s="1"/>
  <c r="G32" i="28"/>
  <c r="F30" i="28"/>
  <c r="F52" i="28" s="1"/>
  <c r="D37" i="28"/>
  <c r="E32" i="27"/>
  <c r="D34" i="27"/>
  <c r="D32" i="27" s="1"/>
  <c r="E54" i="27"/>
  <c r="D54" i="27"/>
  <c r="H32" i="27"/>
  <c r="G51" i="26"/>
  <c r="D51" i="26"/>
  <c r="G50" i="26"/>
  <c r="D50" i="26"/>
  <c r="H48" i="26"/>
  <c r="F48" i="26"/>
  <c r="E48" i="26"/>
  <c r="G47" i="26"/>
  <c r="D47" i="26"/>
  <c r="G44" i="26"/>
  <c r="D44" i="26"/>
  <c r="G43" i="26"/>
  <c r="D43" i="26"/>
  <c r="G42" i="26"/>
  <c r="D42" i="26"/>
  <c r="G41" i="26"/>
  <c r="D41" i="26"/>
  <c r="G40" i="26"/>
  <c r="D40" i="26"/>
  <c r="G39" i="26"/>
  <c r="D39" i="26"/>
  <c r="I37" i="26"/>
  <c r="H37" i="26"/>
  <c r="F37" i="26"/>
  <c r="E37" i="26"/>
  <c r="D37" i="26" s="1"/>
  <c r="G36" i="26"/>
  <c r="D36" i="26"/>
  <c r="G35" i="26"/>
  <c r="D35" i="26"/>
  <c r="D32" i="26" s="1"/>
  <c r="G34" i="26"/>
  <c r="D34" i="26"/>
  <c r="H32" i="26"/>
  <c r="H30" i="26" s="1"/>
  <c r="H52" i="26" s="1"/>
  <c r="F32" i="26"/>
  <c r="E32" i="26"/>
  <c r="F30" i="26"/>
  <c r="F52" i="26" s="1"/>
  <c r="D28" i="26"/>
  <c r="G27" i="26"/>
  <c r="D27" i="26"/>
  <c r="I51" i="25"/>
  <c r="G51" i="25" s="1"/>
  <c r="H50" i="25"/>
  <c r="H48" i="25" s="1"/>
  <c r="I43" i="25"/>
  <c r="I42" i="25"/>
  <c r="I41" i="25"/>
  <c r="G41" i="25" s="1"/>
  <c r="I39" i="25"/>
  <c r="H36" i="25"/>
  <c r="I36" i="25"/>
  <c r="I35" i="25"/>
  <c r="H34" i="25"/>
  <c r="G34" i="25" s="1"/>
  <c r="I34" i="25"/>
  <c r="F48" i="25"/>
  <c r="H28" i="25"/>
  <c r="I28" i="25"/>
  <c r="D51" i="25"/>
  <c r="D50" i="25"/>
  <c r="D48" i="25" s="1"/>
  <c r="I48" i="25"/>
  <c r="E48" i="25"/>
  <c r="I47" i="25"/>
  <c r="G47" i="25" s="1"/>
  <c r="D47" i="25"/>
  <c r="G44" i="25"/>
  <c r="D44" i="25"/>
  <c r="G43" i="25"/>
  <c r="D43" i="25"/>
  <c r="G42" i="25"/>
  <c r="D42" i="25"/>
  <c r="D41" i="25"/>
  <c r="G40" i="25"/>
  <c r="D40" i="25"/>
  <c r="G39" i="25"/>
  <c r="D39" i="25"/>
  <c r="H37" i="25"/>
  <c r="F37" i="25"/>
  <c r="D37" i="25" s="1"/>
  <c r="E37" i="25"/>
  <c r="D36" i="25"/>
  <c r="G35" i="25"/>
  <c r="D35" i="25"/>
  <c r="D34" i="25"/>
  <c r="F32" i="25"/>
  <c r="G27" i="25"/>
  <c r="D27" i="25"/>
  <c r="I34" i="19"/>
  <c r="I29" i="23"/>
  <c r="G28" i="23"/>
  <c r="F29" i="23"/>
  <c r="I54" i="23"/>
  <c r="G53" i="23"/>
  <c r="D53" i="23"/>
  <c r="G52" i="23"/>
  <c r="D52" i="23"/>
  <c r="I50" i="23"/>
  <c r="H50" i="23"/>
  <c r="G50" i="23" s="1"/>
  <c r="F50" i="23"/>
  <c r="E50" i="23"/>
  <c r="G48" i="23"/>
  <c r="I46" i="23"/>
  <c r="H46" i="23"/>
  <c r="G46" i="23"/>
  <c r="F46" i="23"/>
  <c r="E46" i="23"/>
  <c r="D46" i="23"/>
  <c r="G44" i="23"/>
  <c r="G42" i="23"/>
  <c r="G40" i="23"/>
  <c r="I39" i="23"/>
  <c r="H39" i="23"/>
  <c r="F39" i="23"/>
  <c r="E39" i="23"/>
  <c r="D39" i="23"/>
  <c r="G38" i="23"/>
  <c r="D38" i="23"/>
  <c r="G36" i="23"/>
  <c r="D36" i="23"/>
  <c r="I34" i="23"/>
  <c r="F34" i="23"/>
  <c r="E34" i="23"/>
  <c r="F32" i="23"/>
  <c r="G30" i="23"/>
  <c r="D30" i="23"/>
  <c r="H29" i="23"/>
  <c r="E29" i="23"/>
  <c r="D29" i="23" s="1"/>
  <c r="G29" i="23"/>
  <c r="D28" i="23"/>
  <c r="I50" i="22"/>
  <c r="H53" i="22"/>
  <c r="H50" i="22" s="1"/>
  <c r="G50" i="22" s="1"/>
  <c r="H38" i="22"/>
  <c r="H36" i="22"/>
  <c r="G36" i="22" s="1"/>
  <c r="H30" i="22"/>
  <c r="G30" i="22" s="1"/>
  <c r="I54" i="22"/>
  <c r="G53" i="22"/>
  <c r="D53" i="22"/>
  <c r="G52" i="22"/>
  <c r="D52" i="22"/>
  <c r="F50" i="22"/>
  <c r="E50" i="22"/>
  <c r="D50" i="22" s="1"/>
  <c r="G48" i="22"/>
  <c r="I46" i="22"/>
  <c r="H46" i="22"/>
  <c r="G46" i="22"/>
  <c r="F46" i="22"/>
  <c r="E46" i="22"/>
  <c r="D46" i="22"/>
  <c r="G44" i="22"/>
  <c r="G42" i="22"/>
  <c r="G40" i="22"/>
  <c r="I39" i="22"/>
  <c r="H39" i="22"/>
  <c r="F39" i="22"/>
  <c r="E39" i="22"/>
  <c r="D39" i="22"/>
  <c r="G38" i="22"/>
  <c r="D38" i="22"/>
  <c r="D36" i="22"/>
  <c r="D34" i="22" s="1"/>
  <c r="I34" i="22"/>
  <c r="H34" i="22"/>
  <c r="G34" i="22" s="1"/>
  <c r="F34" i="22"/>
  <c r="F32" i="22" s="1"/>
  <c r="F54" i="22" s="1"/>
  <c r="E34" i="22"/>
  <c r="E32" i="22"/>
  <c r="D30" i="22"/>
  <c r="H29" i="22"/>
  <c r="E29" i="22"/>
  <c r="D29" i="22"/>
  <c r="G28" i="22"/>
  <c r="G29" i="22" s="1"/>
  <c r="D28" i="22"/>
  <c r="H34" i="21"/>
  <c r="G34" i="21" s="1"/>
  <c r="H36" i="21"/>
  <c r="H30" i="21"/>
  <c r="G30" i="21" s="1"/>
  <c r="D28" i="21"/>
  <c r="E29" i="21"/>
  <c r="D29" i="21" s="1"/>
  <c r="G29" i="21"/>
  <c r="H29" i="21"/>
  <c r="G28" i="21"/>
  <c r="I54" i="21"/>
  <c r="G53" i="21"/>
  <c r="D53" i="21"/>
  <c r="G52" i="21"/>
  <c r="D52" i="21"/>
  <c r="I50" i="21"/>
  <c r="H50" i="21"/>
  <c r="G50" i="21" s="1"/>
  <c r="F50" i="21"/>
  <c r="E50" i="21"/>
  <c r="D50" i="21" s="1"/>
  <c r="D32" i="21" s="1"/>
  <c r="G48" i="21"/>
  <c r="I46" i="21"/>
  <c r="H46" i="21"/>
  <c r="G46" i="21"/>
  <c r="F46" i="21"/>
  <c r="E46" i="21"/>
  <c r="D46" i="21"/>
  <c r="G44" i="21"/>
  <c r="G42" i="21"/>
  <c r="G40" i="21"/>
  <c r="I39" i="21"/>
  <c r="H39" i="21"/>
  <c r="F39" i="21"/>
  <c r="E39" i="21"/>
  <c r="D39" i="21"/>
  <c r="G38" i="21"/>
  <c r="D38" i="21"/>
  <c r="G36" i="21"/>
  <c r="D36" i="21"/>
  <c r="I34" i="21"/>
  <c r="F34" i="21"/>
  <c r="E34" i="21"/>
  <c r="D34" i="21"/>
  <c r="F32" i="21"/>
  <c r="F54" i="21" s="1"/>
  <c r="D30" i="21"/>
  <c r="G54" i="6"/>
  <c r="G53" i="6"/>
  <c r="G52" i="6"/>
  <c r="H54" i="6"/>
  <c r="E53" i="6"/>
  <c r="D30" i="28" l="1"/>
  <c r="D52" i="28" s="1"/>
  <c r="H54" i="27"/>
  <c r="G32" i="27"/>
  <c r="G54" i="27" s="1"/>
  <c r="E32" i="23"/>
  <c r="D50" i="23"/>
  <c r="D34" i="23"/>
  <c r="D32" i="23" s="1"/>
  <c r="D54" i="23" s="1"/>
  <c r="D48" i="26"/>
  <c r="G32" i="26"/>
  <c r="G37" i="26"/>
  <c r="G48" i="26"/>
  <c r="G28" i="26"/>
  <c r="E30" i="26"/>
  <c r="I32" i="26"/>
  <c r="I30" i="26" s="1"/>
  <c r="I52" i="26" s="1"/>
  <c r="I48" i="26"/>
  <c r="G50" i="25"/>
  <c r="G48" i="25" s="1"/>
  <c r="F30" i="25"/>
  <c r="F52" i="25" s="1"/>
  <c r="D32" i="25"/>
  <c r="G37" i="25"/>
  <c r="D28" i="25"/>
  <c r="E32" i="25"/>
  <c r="E30" i="25" s="1"/>
  <c r="I32" i="25"/>
  <c r="I37" i="25"/>
  <c r="F54" i="23"/>
  <c r="E54" i="23"/>
  <c r="H34" i="23"/>
  <c r="D32" i="22"/>
  <c r="D54" i="22"/>
  <c r="E54" i="22"/>
  <c r="H32" i="22"/>
  <c r="G32" i="22" s="1"/>
  <c r="G54" i="22" s="1"/>
  <c r="E32" i="21"/>
  <c r="E54" i="21" s="1"/>
  <c r="H32" i="21"/>
  <c r="H54" i="21" s="1"/>
  <c r="D54" i="21"/>
  <c r="G32" i="21"/>
  <c r="G54" i="21" s="1"/>
  <c r="G47" i="19"/>
  <c r="I47" i="19"/>
  <c r="I43" i="19"/>
  <c r="I42" i="19"/>
  <c r="G42" i="19" s="1"/>
  <c r="I41" i="19"/>
  <c r="I39" i="19"/>
  <c r="H36" i="19"/>
  <c r="I36" i="19"/>
  <c r="I35" i="19"/>
  <c r="E50" i="19"/>
  <c r="D50" i="19" s="1"/>
  <c r="E36" i="19"/>
  <c r="E34" i="19"/>
  <c r="D47" i="19"/>
  <c r="H28" i="19"/>
  <c r="I28" i="19"/>
  <c r="E28" i="19"/>
  <c r="I51" i="19"/>
  <c r="G51" i="19"/>
  <c r="D51" i="19"/>
  <c r="G50" i="19"/>
  <c r="G48" i="19" s="1"/>
  <c r="H48" i="19"/>
  <c r="F48" i="19"/>
  <c r="E48" i="19"/>
  <c r="G44" i="19"/>
  <c r="D44" i="19"/>
  <c r="G43" i="19"/>
  <c r="D43" i="19"/>
  <c r="D42" i="19"/>
  <c r="G41" i="19"/>
  <c r="D41" i="19"/>
  <c r="G40" i="19"/>
  <c r="D40" i="19"/>
  <c r="G39" i="19"/>
  <c r="D39" i="19"/>
  <c r="H37" i="19"/>
  <c r="F37" i="19"/>
  <c r="D37" i="19" s="1"/>
  <c r="E37" i="19"/>
  <c r="G36" i="19"/>
  <c r="D36" i="19"/>
  <c r="D35" i="19"/>
  <c r="D34" i="19"/>
  <c r="F32" i="19"/>
  <c r="E32" i="19"/>
  <c r="E30" i="19" s="1"/>
  <c r="F30" i="19"/>
  <c r="F52" i="19" s="1"/>
  <c r="G28" i="19"/>
  <c r="G27" i="19"/>
  <c r="D27" i="19"/>
  <c r="H48" i="17"/>
  <c r="G52" i="26" l="1"/>
  <c r="E52" i="26"/>
  <c r="D30" i="26"/>
  <c r="D52" i="26" s="1"/>
  <c r="G30" i="26"/>
  <c r="D30" i="25"/>
  <c r="D52" i="25" s="1"/>
  <c r="G36" i="25"/>
  <c r="G32" i="25" s="1"/>
  <c r="G30" i="25" s="1"/>
  <c r="H32" i="25"/>
  <c r="H30" i="25" s="1"/>
  <c r="E52" i="25"/>
  <c r="I30" i="25"/>
  <c r="I52" i="25" s="1"/>
  <c r="G28" i="25"/>
  <c r="G52" i="25" s="1"/>
  <c r="H52" i="25"/>
  <c r="G34" i="23"/>
  <c r="H32" i="23"/>
  <c r="H54" i="22"/>
  <c r="G37" i="19"/>
  <c r="D48" i="19"/>
  <c r="D32" i="19"/>
  <c r="E52" i="19"/>
  <c r="G34" i="19"/>
  <c r="H32" i="19"/>
  <c r="H30" i="19" s="1"/>
  <c r="D30" i="19"/>
  <c r="H52" i="19"/>
  <c r="D28" i="19"/>
  <c r="D52" i="19" s="1"/>
  <c r="I37" i="19"/>
  <c r="I48" i="19"/>
  <c r="G32" i="23" l="1"/>
  <c r="G54" i="23" s="1"/>
  <c r="H54" i="23"/>
  <c r="G50" i="17"/>
  <c r="I51" i="17"/>
  <c r="I48" i="17" s="1"/>
  <c r="I50" i="17"/>
  <c r="I43" i="17"/>
  <c r="I42" i="17"/>
  <c r="G42" i="17" s="1"/>
  <c r="I35" i="17"/>
  <c r="G35" i="17" s="1"/>
  <c r="H34" i="17"/>
  <c r="I34" i="17"/>
  <c r="F48" i="17"/>
  <c r="E48" i="17"/>
  <c r="E34" i="17"/>
  <c r="D34" i="17" s="1"/>
  <c r="D32" i="17" s="1"/>
  <c r="E28" i="17"/>
  <c r="I28" i="17"/>
  <c r="H28" i="17"/>
  <c r="G36" i="6"/>
  <c r="G38" i="6"/>
  <c r="G40" i="6"/>
  <c r="G42" i="6"/>
  <c r="G44" i="6"/>
  <c r="G48" i="6"/>
  <c r="G30" i="6"/>
  <c r="D53" i="6"/>
  <c r="D52" i="6"/>
  <c r="H34" i="6"/>
  <c r="D30" i="6"/>
  <c r="D36" i="6"/>
  <c r="D29" i="6"/>
  <c r="D27" i="17"/>
  <c r="G51" i="17"/>
  <c r="D51" i="17"/>
  <c r="D50" i="17"/>
  <c r="G44" i="17"/>
  <c r="D44" i="17"/>
  <c r="G43" i="17"/>
  <c r="D43" i="17"/>
  <c r="D42" i="17"/>
  <c r="G41" i="17"/>
  <c r="D41" i="17"/>
  <c r="G40" i="17"/>
  <c r="D40" i="17"/>
  <c r="G39" i="17"/>
  <c r="D39" i="17"/>
  <c r="H37" i="17"/>
  <c r="F37" i="17"/>
  <c r="E37" i="17"/>
  <c r="G36" i="17"/>
  <c r="D36" i="17"/>
  <c r="D35" i="17"/>
  <c r="G34" i="17"/>
  <c r="I32" i="17"/>
  <c r="H32" i="17"/>
  <c r="F32" i="17"/>
  <c r="E32" i="17"/>
  <c r="H30" i="17"/>
  <c r="H52" i="17" s="1"/>
  <c r="E30" i="17"/>
  <c r="E52" i="17" s="1"/>
  <c r="D28" i="17"/>
  <c r="G27" i="17"/>
  <c r="I32" i="7"/>
  <c r="H32" i="7"/>
  <c r="F32" i="7"/>
  <c r="E32" i="7"/>
  <c r="I37" i="7"/>
  <c r="H37" i="7"/>
  <c r="E37" i="7"/>
  <c r="F37" i="7"/>
  <c r="I28" i="7"/>
  <c r="H28" i="7"/>
  <c r="H52" i="5"/>
  <c r="G52" i="5"/>
  <c r="G28" i="5"/>
  <c r="G48" i="17" l="1"/>
  <c r="G37" i="17"/>
  <c r="I37" i="17"/>
  <c r="I30" i="17" s="1"/>
  <c r="I52" i="17" s="1"/>
  <c r="G32" i="17"/>
  <c r="D48" i="17"/>
  <c r="F30" i="17"/>
  <c r="F52" i="17" s="1"/>
  <c r="D37" i="17"/>
  <c r="G28" i="17"/>
  <c r="G51" i="7"/>
  <c r="G48" i="7" s="1"/>
  <c r="D51" i="7"/>
  <c r="D50" i="7"/>
  <c r="D48" i="7" s="1"/>
  <c r="G44" i="7"/>
  <c r="D44" i="7"/>
  <c r="G43" i="7"/>
  <c r="D43" i="7"/>
  <c r="G42" i="7"/>
  <c r="D42" i="7"/>
  <c r="G41" i="7"/>
  <c r="D41" i="7"/>
  <c r="G40" i="7"/>
  <c r="D40" i="7"/>
  <c r="G39" i="7"/>
  <c r="D39" i="7"/>
  <c r="G37" i="7"/>
  <c r="D37" i="7"/>
  <c r="G36" i="7"/>
  <c r="D36" i="7"/>
  <c r="G35" i="7"/>
  <c r="D35" i="7"/>
  <c r="G34" i="7"/>
  <c r="D34" i="7"/>
  <c r="D32" i="7" s="1"/>
  <c r="G32" i="7"/>
  <c r="I30" i="7"/>
  <c r="I52" i="7" s="1"/>
  <c r="H30" i="7"/>
  <c r="H52" i="7" s="1"/>
  <c r="F30" i="7"/>
  <c r="F52" i="7" s="1"/>
  <c r="E30" i="7"/>
  <c r="E52" i="7" s="1"/>
  <c r="D30" i="7"/>
  <c r="G28" i="7"/>
  <c r="D28" i="7"/>
  <c r="G27" i="7"/>
  <c r="G30" i="17" l="1"/>
  <c r="G52" i="17" s="1"/>
  <c r="D30" i="17"/>
  <c r="D52" i="17" s="1"/>
  <c r="G30" i="7"/>
  <c r="G52" i="7" s="1"/>
  <c r="D52" i="7"/>
  <c r="I54" i="6"/>
  <c r="I50" i="6"/>
  <c r="H50" i="6"/>
  <c r="G50" i="6" s="1"/>
  <c r="F50" i="6"/>
  <c r="E50" i="6"/>
  <c r="I46" i="6"/>
  <c r="H46" i="6"/>
  <c r="G46" i="6" s="1"/>
  <c r="F46" i="6"/>
  <c r="E46" i="6"/>
  <c r="D46" i="6"/>
  <c r="I39" i="6"/>
  <c r="H39" i="6"/>
  <c r="F39" i="6"/>
  <c r="E39" i="6"/>
  <c r="D39" i="6"/>
  <c r="D38" i="6"/>
  <c r="D34" i="6" s="1"/>
  <c r="I34" i="6"/>
  <c r="G34" i="6" s="1"/>
  <c r="F34" i="6"/>
  <c r="E34" i="6"/>
  <c r="E32" i="5"/>
  <c r="F32" i="5"/>
  <c r="D36" i="5"/>
  <c r="D32" i="5" s="1"/>
  <c r="F48" i="5"/>
  <c r="F30" i="5" s="1"/>
  <c r="I48" i="5"/>
  <c r="H48" i="5"/>
  <c r="G48" i="5"/>
  <c r="E48" i="5"/>
  <c r="D48" i="5"/>
  <c r="I44" i="5"/>
  <c r="H44" i="5"/>
  <c r="G44" i="5"/>
  <c r="F44" i="5"/>
  <c r="E44" i="5"/>
  <c r="D44" i="5"/>
  <c r="I37" i="5"/>
  <c r="H37" i="5"/>
  <c r="G37" i="5"/>
  <c r="F37" i="5"/>
  <c r="E37" i="5"/>
  <c r="D37" i="5"/>
  <c r="I32" i="5"/>
  <c r="H32" i="5"/>
  <c r="G32" i="5"/>
  <c r="E52" i="5"/>
  <c r="E32" i="6" l="1"/>
  <c r="E54" i="6" s="1"/>
  <c r="H32" i="6"/>
  <c r="F32" i="6"/>
  <c r="F54" i="6" s="1"/>
  <c r="D50" i="6"/>
  <c r="D32" i="6" s="1"/>
  <c r="D54" i="6" s="1"/>
  <c r="H30" i="5"/>
  <c r="D30" i="5"/>
  <c r="I52" i="5"/>
  <c r="G30" i="5"/>
  <c r="F52" i="5"/>
  <c r="D52" i="5"/>
  <c r="G35" i="19"/>
  <c r="G32" i="19" s="1"/>
  <c r="G30" i="19" s="1"/>
  <c r="G52" i="19" s="1"/>
  <c r="I32" i="19"/>
  <c r="I30" i="19" s="1"/>
  <c r="I52" i="19" s="1"/>
  <c r="G32" i="6" l="1"/>
</calcChain>
</file>

<file path=xl/sharedStrings.xml><?xml version="1.0" encoding="utf-8"?>
<sst xmlns="http://schemas.openxmlformats.org/spreadsheetml/2006/main" count="3005" uniqueCount="148">
  <si>
    <t>Приложение 2</t>
  </si>
  <si>
    <t>к Порядку перечисления субсидий</t>
  </si>
  <si>
    <t xml:space="preserve"> на выполнение муниципального</t>
  </si>
  <si>
    <t>задания и осуществления контроля</t>
  </si>
  <si>
    <t xml:space="preserve"> за целевым использованием субсидий</t>
  </si>
  <si>
    <t>на выполнение муниципального</t>
  </si>
  <si>
    <t>задания, утвержденному приказом</t>
  </si>
  <si>
    <t>управления образования</t>
  </si>
  <si>
    <t>от «__ » ____________г. №  __</t>
  </si>
  <si>
    <t>(наименование муниципального учреждения)</t>
  </si>
  <si>
    <t xml:space="preserve">N   </t>
  </si>
  <si>
    <t xml:space="preserve">п/п  </t>
  </si>
  <si>
    <t xml:space="preserve">Наименование   </t>
  </si>
  <si>
    <t xml:space="preserve">показателя    </t>
  </si>
  <si>
    <t>Код по бюджетной</t>
  </si>
  <si>
    <t xml:space="preserve">классификации  </t>
  </si>
  <si>
    <t>операции сектора</t>
  </si>
  <si>
    <t>государственного</t>
  </si>
  <si>
    <t xml:space="preserve">управления   </t>
  </si>
  <si>
    <t>Всего за месяц</t>
  </si>
  <si>
    <t>в том числе:</t>
  </si>
  <si>
    <t>Всего с начала года</t>
  </si>
  <si>
    <t xml:space="preserve">средства краевого бюджета  </t>
  </si>
  <si>
    <t>средства местного бюджета</t>
  </si>
  <si>
    <t>1.</t>
  </si>
  <si>
    <t>Утверждено по бюджету средств на 2012_год</t>
  </si>
  <si>
    <t>х</t>
  </si>
  <si>
    <t xml:space="preserve">2.    </t>
  </si>
  <si>
    <t xml:space="preserve">Остаток неиспользованных  средств на начало отчетного периода </t>
  </si>
  <si>
    <t xml:space="preserve">x        </t>
  </si>
  <si>
    <t xml:space="preserve">3.    </t>
  </si>
  <si>
    <t>Фактически профинансировано на отчетную дату</t>
  </si>
  <si>
    <t xml:space="preserve">х      </t>
  </si>
  <si>
    <t xml:space="preserve">4.    </t>
  </si>
  <si>
    <t xml:space="preserve">Выплаты за отчетный период, всего:   </t>
  </si>
  <si>
    <t xml:space="preserve">в том числе:      </t>
  </si>
  <si>
    <t xml:space="preserve">4.1.  </t>
  </si>
  <si>
    <t xml:space="preserve">Оплата труда и начисления на выплаты по оплате труда, всего      </t>
  </si>
  <si>
    <t xml:space="preserve">из них:           </t>
  </si>
  <si>
    <t>4.1.1.</t>
  </si>
  <si>
    <t xml:space="preserve">Заработная плата  </t>
  </si>
  <si>
    <t>4.1.2.</t>
  </si>
  <si>
    <t xml:space="preserve">Прочие выплаты    </t>
  </si>
  <si>
    <t>4.1.3.</t>
  </si>
  <si>
    <t xml:space="preserve">Начисления на  выплаты по оплате труда             </t>
  </si>
  <si>
    <t xml:space="preserve">4.2.  </t>
  </si>
  <si>
    <t xml:space="preserve">Оплата работ, услуг, всего      </t>
  </si>
  <si>
    <t>4.2.1.</t>
  </si>
  <si>
    <t xml:space="preserve">Услуги связи      </t>
  </si>
  <si>
    <t>4.2.2.</t>
  </si>
  <si>
    <t xml:space="preserve">Транспортные услуги            </t>
  </si>
  <si>
    <t>4.2.3.</t>
  </si>
  <si>
    <t xml:space="preserve">Коммунальные услуги            </t>
  </si>
  <si>
    <t>4.2.5.</t>
  </si>
  <si>
    <t xml:space="preserve">Работы, услуги по содержанию имущества         </t>
  </si>
  <si>
    <t>4.2.6.</t>
  </si>
  <si>
    <t xml:space="preserve">Прочие работы,  услуги            </t>
  </si>
  <si>
    <t xml:space="preserve">4.4.  </t>
  </si>
  <si>
    <t>Социальное обеспечение,     всего</t>
  </si>
  <si>
    <t>4.4.1.</t>
  </si>
  <si>
    <t xml:space="preserve">Пособия по социальной помощи населению         </t>
  </si>
  <si>
    <t xml:space="preserve">4.5.  </t>
  </si>
  <si>
    <t xml:space="preserve">Прочие расходы    </t>
  </si>
  <si>
    <t xml:space="preserve">4.6.  </t>
  </si>
  <si>
    <t xml:space="preserve">Поступление нефинансовых  активов,    всего    </t>
  </si>
  <si>
    <t>4.6.1.</t>
  </si>
  <si>
    <t xml:space="preserve">Увеличение  стоимости основных средств           </t>
  </si>
  <si>
    <t>4.6.4.</t>
  </si>
  <si>
    <t xml:space="preserve">Увеличение стоимости материальных запасов           </t>
  </si>
  <si>
    <t>5.</t>
  </si>
  <si>
    <t>Остатки неиспользованных средств (на конец отчетного периода</t>
  </si>
  <si>
    <t xml:space="preserve">Руководитель учреждения (уполномоченное лицо)                                                                 </t>
  </si>
  <si>
    <t xml:space="preserve"> Директор школы</t>
  </si>
  <si>
    <t>Смирнова М.В.</t>
  </si>
  <si>
    <t>(должность)</t>
  </si>
  <si>
    <t>(подпись)</t>
  </si>
  <si>
    <t>(расшифровка подписи)</t>
  </si>
  <si>
    <t>Главный бухгалтер</t>
  </si>
  <si>
    <t>Иманаева Г.Н.</t>
  </si>
  <si>
    <t>Исполнитель</t>
  </si>
  <si>
    <t>4-17-49</t>
  </si>
  <si>
    <t>(телефон)</t>
  </si>
  <si>
    <t>Приложение 1</t>
  </si>
  <si>
    <t>от «____» ____________г. №  __</t>
  </si>
  <si>
    <t>ЗАЯВКА</t>
  </si>
  <si>
    <t>для получения субсидии</t>
  </si>
  <si>
    <t xml:space="preserve">на выполнение муниципального задания </t>
  </si>
  <si>
    <t>на ________________20___г.</t>
  </si>
  <si>
    <t>№ п/п</t>
  </si>
  <si>
    <t>Наименование расходов</t>
  </si>
  <si>
    <t xml:space="preserve">классификации </t>
  </si>
  <si>
    <t xml:space="preserve">управления  </t>
  </si>
  <si>
    <t>Сумма расходов (руб.)</t>
  </si>
  <si>
    <t>2.</t>
  </si>
  <si>
    <t>…</t>
  </si>
  <si>
    <t>Итого расходов (Р)</t>
  </si>
  <si>
    <t>3.</t>
  </si>
  <si>
    <t>Всего потребность в субсидии (С)</t>
  </si>
  <si>
    <t>(С=Р)</t>
  </si>
  <si>
    <t>Руководитель учреждения (уполномоченное лицо)</t>
  </si>
  <si>
    <t xml:space="preserve">          МБОУ СОШ № 1 с.Троицкое</t>
  </si>
  <si>
    <t>Отчет об использовании субсидии на выполнение муниципального задания</t>
  </si>
  <si>
    <t>Фактически сдано в банк на отчетную дату</t>
  </si>
  <si>
    <t>Отчет о платных услугах и добровольном пожертвовании</t>
  </si>
  <si>
    <t>на   " 01 "     февраля       2013 г.</t>
  </si>
  <si>
    <t>Утверждено по бюджету средств на 2013_год</t>
  </si>
  <si>
    <t xml:space="preserve">Остаток средств на начало года </t>
  </si>
  <si>
    <t>на   " 01 "      марта      2013 г.</t>
  </si>
  <si>
    <t>февраль 2013 г</t>
  </si>
  <si>
    <t>март 2013 г</t>
  </si>
  <si>
    <t>январь 2013 г.</t>
  </si>
  <si>
    <t>на   " 01 "     марта      2013 г.</t>
  </si>
  <si>
    <t>Остаток неиспользованных  средств на начало отчетного периода всего</t>
  </si>
  <si>
    <t xml:space="preserve">Остаток по месяцу </t>
  </si>
  <si>
    <t>май 2013 г</t>
  </si>
  <si>
    <t>на   " 01 "    июня     2013 г.</t>
  </si>
  <si>
    <t>апрель 2013 г</t>
  </si>
  <si>
    <t>на   " 01 "     мая      2013 г.</t>
  </si>
  <si>
    <t>на   " 01 "   апреля      2013 г.</t>
  </si>
  <si>
    <t>на   " 01 "      февраля      2013 г.</t>
  </si>
  <si>
    <t>на   " 01 "     апреля     2013 г.</t>
  </si>
  <si>
    <t>на   " 01 "     июня     2013 г.</t>
  </si>
  <si>
    <t>июнь 2013 г</t>
  </si>
  <si>
    <t>на   " 01 "    июля     2013 г.</t>
  </si>
  <si>
    <t>на   " 01 "     июля     2013 г.</t>
  </si>
  <si>
    <t>июль 2013 г</t>
  </si>
  <si>
    <t>на   " 01 "    августа    2013 г.</t>
  </si>
  <si>
    <t>август 2013 г</t>
  </si>
  <si>
    <t>на   " 01 "   августа   2013 г.</t>
  </si>
  <si>
    <t>на   " 01 "   сентября     2013 г.</t>
  </si>
  <si>
    <t>на   " 01 "    мая    2013 г.</t>
  </si>
  <si>
    <t>на   "01 "   сентября       2013 г.</t>
  </si>
  <si>
    <t>Фактическое поступление на отчетную дату</t>
  </si>
  <si>
    <t>сентябрь 2013 г</t>
  </si>
  <si>
    <t>на   " 01 "   октября     2013 г.</t>
  </si>
  <si>
    <t>октябрь 2013 г</t>
  </si>
  <si>
    <t>на   "01 "  октября      2013 г.</t>
  </si>
  <si>
    <t>на   " 01 "   ноября     2013 г.</t>
  </si>
  <si>
    <t>на   "01 "  ноября      2013 г.</t>
  </si>
  <si>
    <t>ноябрь 2013 г</t>
  </si>
  <si>
    <t>на   "01 "  декабря      2013 г.</t>
  </si>
  <si>
    <t>на   " 01 "   декабря     2013 г.</t>
  </si>
  <si>
    <t>декабрь 2013 г</t>
  </si>
  <si>
    <t>на   "01 "  января      2014 г.</t>
  </si>
  <si>
    <t>ФБ</t>
  </si>
  <si>
    <t>180        -             450000= / создание безбарьерной среды/    -       субсидии на иные цели</t>
  </si>
  <si>
    <t>225            -                  450000=</t>
  </si>
  <si>
    <t>остаток                             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</si>
</sst>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ET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5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/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1" fillId="5" borderId="6" xfId="0" applyFont="1" applyFill="1" applyBorder="1" applyAlignment="1">
      <alignment vertical="top" wrapText="1"/>
    </xf>
    <xf numFmtId="0" fontId="1" fillId="6" borderId="6" xfId="0" applyFont="1" applyFill="1" applyBorder="1" applyAlignment="1">
      <alignment vertical="top" wrapText="1"/>
    </xf>
    <xf numFmtId="0" fontId="1" fillId="7" borderId="6" xfId="0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right" indent="15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Font="1" applyBorder="1" applyAlignment="1"/>
    <xf numFmtId="0" fontId="12" fillId="0" borderId="0" xfId="0" applyFont="1" applyBorder="1" applyAlignment="1"/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3" fillId="0" borderId="0" xfId="0" applyFont="1"/>
    <xf numFmtId="0" fontId="9" fillId="0" borderId="6" xfId="0" applyFont="1" applyBorder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5" fillId="0" borderId="0" xfId="0" applyFont="1"/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11" fillId="5" borderId="7" xfId="0" applyFont="1" applyFill="1" applyBorder="1" applyAlignment="1">
      <alignment vertical="top" wrapText="1"/>
    </xf>
    <xf numFmtId="0" fontId="1" fillId="5" borderId="1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8" borderId="16" xfId="0" applyFont="1" applyFill="1" applyBorder="1" applyAlignment="1">
      <alignment vertical="top" wrapText="1"/>
    </xf>
    <xf numFmtId="0" fontId="2" fillId="8" borderId="16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17" fontId="15" fillId="0" borderId="0" xfId="0" applyNumberFormat="1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Border="1" applyAlignment="1"/>
    <xf numFmtId="0" fontId="16" fillId="4" borderId="6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9" borderId="3" xfId="0" applyFont="1" applyFill="1" applyBorder="1" applyAlignment="1">
      <alignment vertical="top" wrapText="1"/>
    </xf>
    <xf numFmtId="0" fontId="1" fillId="9" borderId="6" xfId="0" applyFont="1" applyFill="1" applyBorder="1" applyAlignment="1">
      <alignment vertical="top" wrapText="1"/>
    </xf>
    <xf numFmtId="0" fontId="11" fillId="9" borderId="3" xfId="0" applyFont="1" applyFill="1" applyBorder="1" applyAlignment="1">
      <alignment vertical="top" wrapText="1"/>
    </xf>
    <xf numFmtId="0" fontId="11" fillId="9" borderId="6" xfId="0" applyFont="1" applyFill="1" applyBorder="1" applyAlignment="1">
      <alignment vertical="top" wrapText="1"/>
    </xf>
    <xf numFmtId="0" fontId="2" fillId="9" borderId="6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7" fillId="9" borderId="6" xfId="0" applyFont="1" applyFill="1" applyBorder="1" applyAlignment="1">
      <alignment vertical="top" wrapText="1"/>
    </xf>
    <xf numFmtId="0" fontId="4" fillId="0" borderId="7" xfId="0" applyFont="1" applyBorder="1" applyAlignment="1">
      <alignment horizontal="justify" vertical="top"/>
    </xf>
    <xf numFmtId="0" fontId="3" fillId="0" borderId="6" xfId="0" applyFont="1" applyBorder="1" applyAlignment="1">
      <alignment vertical="top" wrapText="1"/>
    </xf>
    <xf numFmtId="0" fontId="9" fillId="9" borderId="6" xfId="0" applyFont="1" applyFill="1" applyBorder="1" applyAlignment="1">
      <alignment vertical="top" wrapText="1"/>
    </xf>
    <xf numFmtId="0" fontId="3" fillId="9" borderId="6" xfId="0" applyFont="1" applyFill="1" applyBorder="1" applyAlignment="1">
      <alignment vertical="top" wrapText="1"/>
    </xf>
    <xf numFmtId="0" fontId="18" fillId="9" borderId="6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9" borderId="3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9" borderId="3" xfId="0" applyFont="1" applyFill="1" applyBorder="1" applyAlignment="1">
      <alignment vertical="top" wrapText="1"/>
    </xf>
    <xf numFmtId="0" fontId="1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9" xfId="0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2" fillId="9" borderId="3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1" fillId="9" borderId="3" xfId="0" applyFont="1" applyFill="1" applyBorder="1" applyAlignment="1">
      <alignment vertical="top" wrapText="1"/>
    </xf>
    <xf numFmtId="0" fontId="9" fillId="9" borderId="1" xfId="0" applyFont="1" applyFill="1" applyBorder="1" applyAlignment="1">
      <alignment vertical="top" wrapText="1"/>
    </xf>
    <xf numFmtId="0" fontId="9" fillId="9" borderId="3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123"/>
  <sheetViews>
    <sheetView workbookViewId="0">
      <selection activeCell="D26" sqref="D26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3.5703125" customWidth="1"/>
    <col min="7" max="7" width="18.85546875" customWidth="1"/>
    <col min="8" max="8" width="23.7109375" customWidth="1"/>
    <col min="9" max="9" width="26.5703125" customWidth="1"/>
    <col min="10" max="10" width="36.28515625" customWidth="1"/>
  </cols>
  <sheetData>
    <row r="2" spans="1:9" ht="21">
      <c r="H2" s="92" t="s">
        <v>110</v>
      </c>
    </row>
    <row r="3" spans="1:9" ht="15.75">
      <c r="A3" s="1"/>
      <c r="F3" s="1"/>
      <c r="G3" s="1"/>
      <c r="H3" s="1" t="s">
        <v>0</v>
      </c>
      <c r="I3" s="1"/>
    </row>
    <row r="4" spans="1:9" ht="15.75">
      <c r="A4" s="1"/>
      <c r="F4" s="1"/>
      <c r="G4" s="1"/>
      <c r="H4" s="1" t="s">
        <v>1</v>
      </c>
      <c r="I4" s="1"/>
    </row>
    <row r="5" spans="1:9" ht="15.75">
      <c r="A5" s="1"/>
      <c r="F5" s="1"/>
      <c r="G5" s="1"/>
      <c r="H5" s="1" t="s">
        <v>2</v>
      </c>
      <c r="I5" s="1"/>
    </row>
    <row r="6" spans="1:9" ht="15.75">
      <c r="A6" s="1"/>
      <c r="F6" s="1"/>
      <c r="G6" s="1"/>
      <c r="H6" s="1" t="s">
        <v>3</v>
      </c>
      <c r="I6" s="1"/>
    </row>
    <row r="7" spans="1:9" ht="15.75">
      <c r="A7" s="1"/>
      <c r="F7" s="1"/>
      <c r="G7" s="1"/>
      <c r="H7" s="1" t="s">
        <v>4</v>
      </c>
      <c r="I7" s="1"/>
    </row>
    <row r="8" spans="1:9" ht="15.75">
      <c r="A8" s="1"/>
      <c r="F8" s="1"/>
      <c r="G8" s="1"/>
      <c r="H8" s="1" t="s">
        <v>5</v>
      </c>
      <c r="I8" s="1"/>
    </row>
    <row r="9" spans="1:9" ht="15.75">
      <c r="A9" s="1"/>
      <c r="F9" s="1"/>
      <c r="G9" s="1"/>
      <c r="H9" s="1" t="s">
        <v>6</v>
      </c>
      <c r="I9" s="1"/>
    </row>
    <row r="10" spans="1:9" ht="15.75">
      <c r="A10" s="2"/>
      <c r="F10" s="2"/>
      <c r="G10" s="2"/>
      <c r="H10" s="2" t="s">
        <v>7</v>
      </c>
      <c r="I10" s="2"/>
    </row>
    <row r="11" spans="1:9" ht="15.75">
      <c r="A11" s="1"/>
      <c r="F11" s="1"/>
      <c r="G11" s="1"/>
      <c r="H11" s="1" t="s">
        <v>8</v>
      </c>
      <c r="I11" s="1"/>
    </row>
    <row r="12" spans="1:9" ht="15.75">
      <c r="A12" s="4"/>
    </row>
    <row r="13" spans="1:9" ht="18.75">
      <c r="A13" s="5"/>
      <c r="B13" s="49" t="s">
        <v>103</v>
      </c>
      <c r="C13" s="49"/>
      <c r="D13" s="49"/>
      <c r="E13" s="48"/>
    </row>
    <row r="14" spans="1:9" ht="15.75">
      <c r="B14" s="50" t="s">
        <v>100</v>
      </c>
      <c r="C14" s="51"/>
      <c r="D14" s="51"/>
      <c r="E14" s="51"/>
    </row>
    <row r="15" spans="1:9" ht="15.75">
      <c r="A15" s="4"/>
      <c r="B15" s="43"/>
      <c r="C15" s="43"/>
      <c r="D15" s="43"/>
      <c r="E15" s="43"/>
    </row>
    <row r="16" spans="1:9" ht="26.25">
      <c r="A16" s="6"/>
      <c r="B16" s="51" t="s">
        <v>104</v>
      </c>
      <c r="C16" s="43"/>
      <c r="D16" s="43"/>
      <c r="E16" s="43"/>
      <c r="H16" s="52">
        <v>2</v>
      </c>
    </row>
    <row r="17" spans="1:10" ht="15.75">
      <c r="A17" s="4"/>
      <c r="B17" s="43"/>
      <c r="C17" s="43"/>
      <c r="D17" s="43"/>
      <c r="E17" s="43"/>
    </row>
    <row r="18" spans="1:10" ht="15.75">
      <c r="A18" s="4"/>
      <c r="B18" s="4"/>
    </row>
    <row r="19" spans="1:10" ht="19.5" thickBot="1">
      <c r="A19" s="7"/>
    </row>
    <row r="20" spans="1:10" ht="47.25">
      <c r="A20" s="18" t="s">
        <v>10</v>
      </c>
      <c r="B20" s="17" t="s">
        <v>12</v>
      </c>
      <c r="C20" s="17" t="s">
        <v>14</v>
      </c>
      <c r="D20" s="179" t="s">
        <v>19</v>
      </c>
      <c r="E20" s="182" t="s">
        <v>20</v>
      </c>
      <c r="F20" s="183"/>
      <c r="G20" s="179" t="s">
        <v>21</v>
      </c>
      <c r="H20" s="182" t="s">
        <v>20</v>
      </c>
      <c r="I20" s="183"/>
      <c r="J20" s="188"/>
    </row>
    <row r="21" spans="1:10" ht="31.5">
      <c r="A21" s="19" t="s">
        <v>11</v>
      </c>
      <c r="B21" s="21" t="s">
        <v>13</v>
      </c>
      <c r="C21" s="21" t="s">
        <v>15</v>
      </c>
      <c r="D21" s="180"/>
      <c r="E21" s="184"/>
      <c r="F21" s="185"/>
      <c r="G21" s="180"/>
      <c r="H21" s="184"/>
      <c r="I21" s="185"/>
      <c r="J21" s="188"/>
    </row>
    <row r="22" spans="1:10" ht="48" thickBot="1">
      <c r="A22" s="8"/>
      <c r="B22" s="10"/>
      <c r="C22" s="21" t="s">
        <v>16</v>
      </c>
      <c r="D22" s="180"/>
      <c r="E22" s="186"/>
      <c r="F22" s="187"/>
      <c r="G22" s="180"/>
      <c r="H22" s="184"/>
      <c r="I22" s="185"/>
      <c r="J22" s="188"/>
    </row>
    <row r="23" spans="1:10" ht="48" thickBot="1">
      <c r="A23" s="8"/>
      <c r="B23" s="10"/>
      <c r="C23" s="21" t="s">
        <v>17</v>
      </c>
      <c r="D23" s="180"/>
      <c r="E23" s="189">
        <v>130</v>
      </c>
      <c r="F23" s="189">
        <v>180</v>
      </c>
      <c r="G23" s="180"/>
      <c r="H23" s="186"/>
      <c r="I23" s="187"/>
      <c r="J23" s="12"/>
    </row>
    <row r="24" spans="1:10" ht="32.25" thickBot="1">
      <c r="A24" s="9"/>
      <c r="B24" s="11"/>
      <c r="C24" s="22" t="s">
        <v>18</v>
      </c>
      <c r="D24" s="181"/>
      <c r="E24" s="190"/>
      <c r="F24" s="190"/>
      <c r="G24" s="181"/>
      <c r="H24" s="53">
        <v>130</v>
      </c>
      <c r="I24" s="53">
        <v>180</v>
      </c>
      <c r="J24" s="12"/>
    </row>
    <row r="25" spans="1:10" ht="16.5" thickBot="1">
      <c r="A25" s="20">
        <v>1</v>
      </c>
      <c r="B25" s="22">
        <v>2</v>
      </c>
      <c r="C25" s="22">
        <v>3</v>
      </c>
      <c r="D25" s="22">
        <v>4</v>
      </c>
      <c r="E25" s="22"/>
      <c r="F25" s="22"/>
      <c r="G25" s="22"/>
      <c r="H25" s="22">
        <v>5</v>
      </c>
      <c r="I25" s="22">
        <v>6</v>
      </c>
      <c r="J25" s="12"/>
    </row>
    <row r="26" spans="1:10" ht="19.5" thickBot="1">
      <c r="A26" s="20" t="s">
        <v>24</v>
      </c>
      <c r="B26" s="22" t="s">
        <v>105</v>
      </c>
      <c r="C26" s="22" t="s">
        <v>26</v>
      </c>
      <c r="D26" s="22">
        <f>E26+F26</f>
        <v>1720000</v>
      </c>
      <c r="E26" s="22">
        <v>1570000</v>
      </c>
      <c r="F26" s="22">
        <v>150000</v>
      </c>
      <c r="G26" s="53">
        <f>H26+I26</f>
        <v>1720000</v>
      </c>
      <c r="H26" s="22">
        <v>1570000</v>
      </c>
      <c r="I26" s="22">
        <v>150000</v>
      </c>
      <c r="J26" s="12"/>
    </row>
    <row r="27" spans="1:10" ht="38.25" customHeight="1" thickBot="1">
      <c r="A27" s="20" t="s">
        <v>27</v>
      </c>
      <c r="B27" s="22" t="s">
        <v>28</v>
      </c>
      <c r="C27" s="22" t="s">
        <v>29</v>
      </c>
      <c r="D27" s="22"/>
      <c r="E27" s="22"/>
      <c r="F27" s="22"/>
      <c r="G27" s="39">
        <v>7525.82</v>
      </c>
      <c r="H27" s="39">
        <v>7525.82</v>
      </c>
      <c r="I27" s="39"/>
      <c r="J27" s="12"/>
    </row>
    <row r="28" spans="1:10" ht="27" customHeight="1">
      <c r="A28" s="179" t="s">
        <v>30</v>
      </c>
      <c r="B28" s="179" t="s">
        <v>102</v>
      </c>
      <c r="C28" s="179" t="s">
        <v>32</v>
      </c>
      <c r="D28" s="179">
        <v>201889</v>
      </c>
      <c r="E28" s="179">
        <v>201889</v>
      </c>
      <c r="F28" s="179"/>
      <c r="G28" s="179">
        <f>H28+I28</f>
        <v>201889</v>
      </c>
      <c r="H28" s="179">
        <v>201889</v>
      </c>
      <c r="I28" s="179">
        <v>0</v>
      </c>
      <c r="J28" s="188"/>
    </row>
    <row r="29" spans="1:10" ht="24" customHeight="1" thickBot="1">
      <c r="A29" s="181"/>
      <c r="B29" s="181"/>
      <c r="C29" s="181"/>
      <c r="D29" s="181"/>
      <c r="E29" s="181"/>
      <c r="F29" s="181"/>
      <c r="G29" s="181"/>
      <c r="H29" s="181"/>
      <c r="I29" s="181"/>
      <c r="J29" s="188"/>
    </row>
    <row r="30" spans="1:10" ht="47.25" customHeight="1" thickBot="1">
      <c r="A30" s="41" t="s">
        <v>33</v>
      </c>
      <c r="B30" s="38" t="s">
        <v>34</v>
      </c>
      <c r="C30" s="38">
        <v>900</v>
      </c>
      <c r="D30" s="38">
        <f>D32+D37+D44+D47+D48</f>
        <v>0</v>
      </c>
      <c r="E30" s="38">
        <v>0</v>
      </c>
      <c r="F30" s="38">
        <f>F32+F5037+F44+F47+F48</f>
        <v>0</v>
      </c>
      <c r="G30" s="38">
        <f>G32+G37+G44+G47+G48</f>
        <v>0</v>
      </c>
      <c r="H30" s="38">
        <f>H32+H37+H44+H47+H48</f>
        <v>0</v>
      </c>
      <c r="I30" s="38">
        <v>0</v>
      </c>
      <c r="J30" s="12"/>
    </row>
    <row r="31" spans="1:10" ht="16.5" thickBot="1">
      <c r="A31" s="20"/>
      <c r="B31" s="22" t="s">
        <v>35</v>
      </c>
      <c r="C31" s="22"/>
      <c r="D31" s="22"/>
      <c r="E31" s="22"/>
      <c r="F31" s="22"/>
      <c r="G31" s="22"/>
      <c r="H31" s="22"/>
      <c r="I31" s="22"/>
      <c r="J31" s="12"/>
    </row>
    <row r="32" spans="1:10" ht="32.25" thickBot="1">
      <c r="A32" s="20" t="s">
        <v>36</v>
      </c>
      <c r="B32" s="22" t="s">
        <v>37</v>
      </c>
      <c r="C32" s="13">
        <v>210</v>
      </c>
      <c r="D32" s="13">
        <f>D34+D35+D36</f>
        <v>0</v>
      </c>
      <c r="E32" s="13">
        <f t="shared" ref="E32:F32" si="0">E34+E35+E36</f>
        <v>0</v>
      </c>
      <c r="F32" s="13">
        <f t="shared" si="0"/>
        <v>0</v>
      </c>
      <c r="G32" s="13">
        <f>G34+G35+G36</f>
        <v>0</v>
      </c>
      <c r="H32" s="13">
        <f>H34+H35+H36</f>
        <v>0</v>
      </c>
      <c r="I32" s="13">
        <f>I34+I35+I36</f>
        <v>0</v>
      </c>
      <c r="J32" s="12"/>
    </row>
    <row r="33" spans="1:10" ht="16.5" thickBot="1">
      <c r="A33" s="20"/>
      <c r="B33" s="22" t="s">
        <v>38</v>
      </c>
      <c r="C33" s="22"/>
      <c r="D33" s="22"/>
      <c r="E33" s="22"/>
      <c r="F33" s="22"/>
      <c r="G33" s="22"/>
      <c r="H33" s="22"/>
      <c r="I33" s="22"/>
      <c r="J33" s="12"/>
    </row>
    <row r="34" spans="1:10" ht="16.5" thickBot="1">
      <c r="A34" s="20" t="s">
        <v>39</v>
      </c>
      <c r="B34" s="22" t="s">
        <v>40</v>
      </c>
      <c r="C34" s="22">
        <v>211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12"/>
    </row>
    <row r="35" spans="1:10" ht="16.5" thickBot="1">
      <c r="A35" s="20" t="s">
        <v>41</v>
      </c>
      <c r="B35" s="22" t="s">
        <v>42</v>
      </c>
      <c r="C35" s="22">
        <v>212</v>
      </c>
      <c r="D35" s="22">
        <v>0</v>
      </c>
      <c r="E35" s="22"/>
      <c r="F35" s="22">
        <v>0</v>
      </c>
      <c r="G35" s="22">
        <v>0</v>
      </c>
      <c r="H35" s="22"/>
      <c r="I35" s="22">
        <v>0</v>
      </c>
      <c r="J35" s="12"/>
    </row>
    <row r="36" spans="1:10" ht="16.5" thickBot="1">
      <c r="A36" s="20" t="s">
        <v>43</v>
      </c>
      <c r="B36" s="22" t="s">
        <v>44</v>
      </c>
      <c r="C36" s="22">
        <v>213</v>
      </c>
      <c r="D36" s="22">
        <f>E36+F36</f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12"/>
    </row>
    <row r="37" spans="1:10" ht="16.5" thickBot="1">
      <c r="A37" s="20" t="s">
        <v>45</v>
      </c>
      <c r="B37" s="22" t="s">
        <v>46</v>
      </c>
      <c r="C37" s="14">
        <v>220</v>
      </c>
      <c r="D37" s="14">
        <f t="shared" ref="D37:I37" si="1">D39+D40+D41+D42+D43</f>
        <v>0</v>
      </c>
      <c r="E37" s="14">
        <f t="shared" si="1"/>
        <v>0</v>
      </c>
      <c r="F37" s="14">
        <f t="shared" si="1"/>
        <v>0</v>
      </c>
      <c r="G37" s="14">
        <f t="shared" si="1"/>
        <v>0</v>
      </c>
      <c r="H37" s="14">
        <f t="shared" si="1"/>
        <v>0</v>
      </c>
      <c r="I37" s="14">
        <f t="shared" si="1"/>
        <v>0</v>
      </c>
      <c r="J37" s="12"/>
    </row>
    <row r="38" spans="1:10" ht="16.5" thickBot="1">
      <c r="A38" s="20"/>
      <c r="B38" s="22" t="s">
        <v>38</v>
      </c>
      <c r="C38" s="22"/>
      <c r="D38" s="22"/>
      <c r="E38" s="22"/>
      <c r="F38" s="22"/>
      <c r="G38" s="22"/>
      <c r="H38" s="22"/>
      <c r="I38" s="22"/>
      <c r="J38" s="12"/>
    </row>
    <row r="39" spans="1:10" ht="16.5" thickBot="1">
      <c r="A39" s="20" t="s">
        <v>47</v>
      </c>
      <c r="B39" s="22" t="s">
        <v>48</v>
      </c>
      <c r="C39" s="22">
        <v>221</v>
      </c>
      <c r="D39" s="22">
        <v>0</v>
      </c>
      <c r="E39" s="22"/>
      <c r="F39" s="22"/>
      <c r="G39" s="22"/>
      <c r="H39" s="22"/>
      <c r="I39" s="22"/>
      <c r="J39" s="12"/>
    </row>
    <row r="40" spans="1:10" ht="26.25" customHeight="1" thickBot="1">
      <c r="A40" s="20" t="s">
        <v>49</v>
      </c>
      <c r="B40" s="22" t="s">
        <v>50</v>
      </c>
      <c r="C40" s="22">
        <v>222</v>
      </c>
      <c r="D40" s="22">
        <v>0</v>
      </c>
      <c r="E40" s="22"/>
      <c r="F40" s="22"/>
      <c r="G40" s="22"/>
      <c r="H40" s="22"/>
      <c r="I40" s="22"/>
      <c r="J40" s="12"/>
    </row>
    <row r="41" spans="1:10" ht="29.25" customHeight="1" thickBot="1">
      <c r="A41" s="20" t="s">
        <v>51</v>
      </c>
      <c r="B41" s="22" t="s">
        <v>52</v>
      </c>
      <c r="C41" s="22">
        <v>223</v>
      </c>
      <c r="D41" s="22">
        <v>0</v>
      </c>
      <c r="E41" s="22"/>
      <c r="F41" s="22"/>
      <c r="G41" s="22"/>
      <c r="H41" s="22"/>
      <c r="I41" s="22"/>
      <c r="J41" s="12"/>
    </row>
    <row r="42" spans="1:10" ht="16.5" thickBot="1">
      <c r="A42" s="20" t="s">
        <v>53</v>
      </c>
      <c r="B42" s="22" t="s">
        <v>54</v>
      </c>
      <c r="C42" s="22">
        <v>225</v>
      </c>
      <c r="D42" s="22">
        <v>0</v>
      </c>
      <c r="E42" s="22"/>
      <c r="F42" s="22"/>
      <c r="G42" s="22"/>
      <c r="H42" s="22"/>
      <c r="I42" s="22">
        <v>0</v>
      </c>
      <c r="J42" s="12"/>
    </row>
    <row r="43" spans="1:10" ht="30" customHeight="1" thickBot="1">
      <c r="A43" s="20" t="s">
        <v>55</v>
      </c>
      <c r="B43" s="22" t="s">
        <v>56</v>
      </c>
      <c r="C43" s="22">
        <v>226</v>
      </c>
      <c r="D43" s="22">
        <v>0</v>
      </c>
      <c r="E43" s="22"/>
      <c r="F43" s="22"/>
      <c r="G43" s="22"/>
      <c r="H43" s="22"/>
      <c r="I43" s="22">
        <v>0</v>
      </c>
      <c r="J43" s="12"/>
    </row>
    <row r="44" spans="1:10" ht="16.5" thickBot="1">
      <c r="A44" s="20" t="s">
        <v>57</v>
      </c>
      <c r="B44" s="22" t="s">
        <v>58</v>
      </c>
      <c r="C44" s="14">
        <v>260</v>
      </c>
      <c r="D44" s="14">
        <f t="shared" ref="D44:I44" si="2">D46</f>
        <v>0</v>
      </c>
      <c r="E44" s="14">
        <f t="shared" si="2"/>
        <v>0</v>
      </c>
      <c r="F44" s="14">
        <f t="shared" si="2"/>
        <v>0</v>
      </c>
      <c r="G44" s="14">
        <f t="shared" si="2"/>
        <v>0</v>
      </c>
      <c r="H44" s="14">
        <f t="shared" si="2"/>
        <v>0</v>
      </c>
      <c r="I44" s="14">
        <f t="shared" si="2"/>
        <v>0</v>
      </c>
      <c r="J44" s="12"/>
    </row>
    <row r="45" spans="1:10" ht="16.5" thickBot="1">
      <c r="A45" s="20"/>
      <c r="B45" s="22" t="s">
        <v>38</v>
      </c>
      <c r="C45" s="22"/>
      <c r="D45" s="22"/>
      <c r="E45" s="22"/>
      <c r="F45" s="22"/>
      <c r="G45" s="22"/>
      <c r="H45" s="22"/>
      <c r="I45" s="22"/>
      <c r="J45" s="12"/>
    </row>
    <row r="46" spans="1:10" ht="16.5" thickBot="1">
      <c r="A46" s="20" t="s">
        <v>59</v>
      </c>
      <c r="B46" s="22" t="s">
        <v>60</v>
      </c>
      <c r="C46" s="22">
        <v>262</v>
      </c>
      <c r="D46" s="22"/>
      <c r="E46" s="22"/>
      <c r="F46" s="22"/>
      <c r="G46" s="22"/>
      <c r="H46" s="22"/>
      <c r="I46" s="22">
        <v>0</v>
      </c>
      <c r="J46" s="12"/>
    </row>
    <row r="47" spans="1:10" ht="38.25" customHeight="1" thickBot="1">
      <c r="A47" s="20" t="s">
        <v>61</v>
      </c>
      <c r="B47" s="22" t="s">
        <v>62</v>
      </c>
      <c r="C47" s="14">
        <v>290</v>
      </c>
      <c r="D47" s="14">
        <v>0</v>
      </c>
      <c r="E47" s="14"/>
      <c r="F47" s="14">
        <v>0</v>
      </c>
      <c r="G47" s="14">
        <v>0</v>
      </c>
      <c r="H47" s="14"/>
      <c r="I47" s="14">
        <v>0</v>
      </c>
      <c r="J47" s="12"/>
    </row>
    <row r="48" spans="1:10" ht="33" customHeight="1" thickBot="1">
      <c r="A48" s="20" t="s">
        <v>63</v>
      </c>
      <c r="B48" s="22" t="s">
        <v>64</v>
      </c>
      <c r="C48" s="14">
        <v>300</v>
      </c>
      <c r="D48" s="14">
        <f t="shared" ref="D48:I48" si="3">D50+D51</f>
        <v>0</v>
      </c>
      <c r="E48" s="14">
        <f t="shared" si="3"/>
        <v>0</v>
      </c>
      <c r="F48" s="14">
        <f t="shared" si="3"/>
        <v>0</v>
      </c>
      <c r="G48" s="14">
        <f t="shared" si="3"/>
        <v>0</v>
      </c>
      <c r="H48" s="14">
        <f t="shared" si="3"/>
        <v>0</v>
      </c>
      <c r="I48" s="14">
        <f t="shared" si="3"/>
        <v>0</v>
      </c>
      <c r="J48" s="12"/>
    </row>
    <row r="49" spans="1:10" ht="16.5" thickBot="1">
      <c r="A49" s="20"/>
      <c r="B49" s="22" t="s">
        <v>38</v>
      </c>
      <c r="C49" s="22"/>
      <c r="D49" s="22"/>
      <c r="E49" s="22"/>
      <c r="F49" s="22"/>
      <c r="G49" s="22"/>
      <c r="H49" s="22"/>
      <c r="I49" s="22"/>
      <c r="J49" s="12"/>
    </row>
    <row r="50" spans="1:10" ht="16.5" thickBot="1">
      <c r="A50" s="20" t="s">
        <v>65</v>
      </c>
      <c r="B50" s="22" t="s">
        <v>66</v>
      </c>
      <c r="C50" s="22">
        <v>310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12"/>
    </row>
    <row r="51" spans="1:10" ht="16.5" thickBot="1">
      <c r="A51" s="20" t="s">
        <v>67</v>
      </c>
      <c r="B51" s="22" t="s">
        <v>68</v>
      </c>
      <c r="C51" s="22">
        <v>340</v>
      </c>
      <c r="D51" s="22">
        <v>0</v>
      </c>
      <c r="E51" s="22"/>
      <c r="F51" s="22">
        <v>0</v>
      </c>
      <c r="G51" s="22">
        <v>0</v>
      </c>
      <c r="H51" s="22">
        <v>0</v>
      </c>
      <c r="I51" s="22">
        <v>0</v>
      </c>
      <c r="J51" s="12"/>
    </row>
    <row r="52" spans="1:10" ht="32.25" thickBot="1">
      <c r="A52" s="15" t="s">
        <v>69</v>
      </c>
      <c r="B52" s="16" t="s">
        <v>70</v>
      </c>
      <c r="C52" s="16" t="s">
        <v>26</v>
      </c>
      <c r="D52" s="40">
        <f>G27+D28-D30</f>
        <v>209414.82</v>
      </c>
      <c r="E52" s="40">
        <f>H27+E28-E30</f>
        <v>209414.82</v>
      </c>
      <c r="F52" s="40">
        <f>I27+F28-F30</f>
        <v>0</v>
      </c>
      <c r="G52" s="40">
        <f>G28+G27-G30</f>
        <v>209414.82</v>
      </c>
      <c r="H52" s="40">
        <f>H28+H27-H30</f>
        <v>209414.82</v>
      </c>
      <c r="I52" s="40">
        <f>I28-I30</f>
        <v>0</v>
      </c>
      <c r="J52" s="12"/>
    </row>
    <row r="53" spans="1:10" ht="18.75">
      <c r="A53" s="23"/>
    </row>
    <row r="54" spans="1:10" ht="60.75" thickBot="1">
      <c r="A54" s="24" t="s">
        <v>71</v>
      </c>
      <c r="B54" s="25"/>
      <c r="C54" s="26" t="s">
        <v>72</v>
      </c>
      <c r="D54" s="25"/>
      <c r="E54" s="26"/>
      <c r="F54" s="25"/>
      <c r="G54" s="26" t="s">
        <v>73</v>
      </c>
      <c r="H54" s="25"/>
      <c r="I54" s="25"/>
    </row>
    <row r="55" spans="1:10">
      <c r="A55" s="27"/>
      <c r="B55" s="27"/>
      <c r="C55" s="28" t="s">
        <v>74</v>
      </c>
      <c r="D55" s="27"/>
      <c r="E55" s="28" t="s">
        <v>75</v>
      </c>
      <c r="F55" s="27"/>
      <c r="G55" s="28" t="s">
        <v>76</v>
      </c>
      <c r="H55" s="29"/>
      <c r="I55" s="29"/>
    </row>
    <row r="56" spans="1:10" ht="24.75" thickBot="1">
      <c r="A56" s="24" t="s">
        <v>77</v>
      </c>
      <c r="B56" s="25"/>
      <c r="C56" s="26"/>
      <c r="D56" s="25"/>
      <c r="E56" s="26" t="s">
        <v>78</v>
      </c>
      <c r="F56" s="25"/>
      <c r="G56" s="25"/>
      <c r="H56" s="25"/>
      <c r="I56" s="25"/>
    </row>
    <row r="57" spans="1:10">
      <c r="A57" s="29"/>
      <c r="B57" s="27"/>
      <c r="C57" s="29" t="s">
        <v>75</v>
      </c>
      <c r="D57" s="27"/>
      <c r="E57" s="29" t="s">
        <v>76</v>
      </c>
      <c r="F57" s="27"/>
      <c r="G57" s="27"/>
      <c r="H57" s="27"/>
      <c r="I57" s="27"/>
    </row>
    <row r="58" spans="1:10" ht="24.75" thickBot="1">
      <c r="A58" s="24" t="s">
        <v>79</v>
      </c>
      <c r="B58" s="25"/>
      <c r="C58" s="30" t="s">
        <v>77</v>
      </c>
      <c r="D58" s="25"/>
      <c r="E58" s="30"/>
      <c r="F58" s="25"/>
      <c r="G58" s="26" t="s">
        <v>78</v>
      </c>
      <c r="H58" s="25"/>
      <c r="I58" s="26" t="s">
        <v>80</v>
      </c>
    </row>
    <row r="59" spans="1:10">
      <c r="A59" s="29"/>
      <c r="B59" s="27"/>
      <c r="C59" s="29" t="s">
        <v>74</v>
      </c>
      <c r="D59" s="27"/>
      <c r="E59" s="29" t="s">
        <v>75</v>
      </c>
      <c r="F59" s="27"/>
      <c r="G59" s="29" t="s">
        <v>76</v>
      </c>
      <c r="H59" s="27"/>
      <c r="I59" s="29" t="s">
        <v>81</v>
      </c>
    </row>
    <row r="60" spans="1:10" ht="18.75">
      <c r="A60" s="7"/>
    </row>
    <row r="61" spans="1:10" ht="18.75">
      <c r="A61" s="7"/>
    </row>
    <row r="62" spans="1:10" ht="18.75">
      <c r="A62" s="7"/>
    </row>
    <row r="63" spans="1:10" ht="18.75">
      <c r="A63" s="7"/>
    </row>
    <row r="64" spans="1:10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7" spans="1:1" ht="15.75">
      <c r="A77" s="1" t="s">
        <v>82</v>
      </c>
    </row>
    <row r="78" spans="1:1" ht="15.75">
      <c r="A78" s="1" t="s">
        <v>1</v>
      </c>
    </row>
    <row r="79" spans="1:1" ht="15.75">
      <c r="A79" s="1" t="s">
        <v>2</v>
      </c>
    </row>
    <row r="80" spans="1:1" ht="15.75">
      <c r="A80" s="1" t="s">
        <v>3</v>
      </c>
    </row>
    <row r="81" spans="1:1" ht="15.75">
      <c r="A81" s="1" t="s">
        <v>4</v>
      </c>
    </row>
    <row r="82" spans="1:1" ht="15.75">
      <c r="A82" s="1" t="s">
        <v>5</v>
      </c>
    </row>
    <row r="83" spans="1:1" ht="15.75">
      <c r="A83" s="1" t="s">
        <v>6</v>
      </c>
    </row>
    <row r="84" spans="1:1" ht="15.75">
      <c r="A84" s="2" t="s">
        <v>7</v>
      </c>
    </row>
    <row r="85" spans="1:1" ht="15.75">
      <c r="A85" s="1" t="s">
        <v>83</v>
      </c>
    </row>
    <row r="86" spans="1:1" ht="18.75">
      <c r="A86" s="31"/>
    </row>
    <row r="87" spans="1:1" ht="15.75">
      <c r="A87" s="5" t="s">
        <v>84</v>
      </c>
    </row>
    <row r="88" spans="1:1" ht="15.75">
      <c r="A88" s="5" t="s">
        <v>85</v>
      </c>
    </row>
    <row r="89" spans="1:1" ht="15.75">
      <c r="A89" s="5" t="s">
        <v>86</v>
      </c>
    </row>
    <row r="90" spans="1:1" ht="15.75">
      <c r="A90" s="4"/>
    </row>
    <row r="91" spans="1:1" ht="15.75">
      <c r="A91" s="4"/>
    </row>
    <row r="92" spans="1:1" ht="15.75">
      <c r="A92" s="4" t="s">
        <v>9</v>
      </c>
    </row>
    <row r="93" spans="1:1" ht="18.75">
      <c r="A93" s="6"/>
    </row>
    <row r="94" spans="1:1" ht="15.75">
      <c r="A94" s="4" t="s">
        <v>87</v>
      </c>
    </row>
    <row r="95" spans="1:1" ht="15.75">
      <c r="A95" s="4"/>
    </row>
    <row r="96" spans="1:1" ht="18.75">
      <c r="A96" s="7"/>
    </row>
    <row r="97" spans="1:4" ht="16.5" thickBot="1">
      <c r="A97" s="4"/>
    </row>
    <row r="98" spans="1:4" ht="47.25">
      <c r="A98" s="191" t="s">
        <v>88</v>
      </c>
      <c r="B98" s="191" t="s">
        <v>89</v>
      </c>
      <c r="C98" s="32" t="s">
        <v>14</v>
      </c>
      <c r="D98" s="191" t="s">
        <v>92</v>
      </c>
    </row>
    <row r="99" spans="1:4" ht="31.5">
      <c r="A99" s="192"/>
      <c r="B99" s="192"/>
      <c r="C99" s="33" t="s">
        <v>90</v>
      </c>
      <c r="D99" s="192"/>
    </row>
    <row r="100" spans="1:4" ht="47.25">
      <c r="A100" s="192"/>
      <c r="B100" s="192"/>
      <c r="C100" s="33" t="s">
        <v>16</v>
      </c>
      <c r="D100" s="192"/>
    </row>
    <row r="101" spans="1:4" ht="47.25">
      <c r="A101" s="192"/>
      <c r="B101" s="192"/>
      <c r="C101" s="33" t="s">
        <v>17</v>
      </c>
      <c r="D101" s="192"/>
    </row>
    <row r="102" spans="1:4" ht="32.25" thickBot="1">
      <c r="A102" s="193"/>
      <c r="B102" s="193"/>
      <c r="C102" s="34" t="s">
        <v>91</v>
      </c>
      <c r="D102" s="193"/>
    </row>
    <row r="103" spans="1:4" ht="16.5" thickBot="1">
      <c r="A103" s="36">
        <v>1</v>
      </c>
      <c r="B103" s="34">
        <v>2</v>
      </c>
      <c r="C103" s="34">
        <v>3</v>
      </c>
      <c r="D103" s="34">
        <v>4</v>
      </c>
    </row>
    <row r="104" spans="1:4" ht="16.5" thickBot="1">
      <c r="A104" s="36" t="s">
        <v>24</v>
      </c>
      <c r="B104" s="22"/>
      <c r="C104" s="22"/>
      <c r="D104" s="35"/>
    </row>
    <row r="105" spans="1:4" ht="16.5" thickBot="1">
      <c r="A105" s="36" t="s">
        <v>93</v>
      </c>
      <c r="B105" s="22"/>
      <c r="C105" s="22"/>
      <c r="D105" s="35"/>
    </row>
    <row r="106" spans="1:4" ht="16.5" thickBot="1">
      <c r="A106" s="36" t="s">
        <v>94</v>
      </c>
      <c r="B106" s="22"/>
      <c r="C106" s="34"/>
      <c r="D106" s="35"/>
    </row>
    <row r="107" spans="1:4" ht="16.5" thickBot="1">
      <c r="A107" s="36"/>
      <c r="B107" s="22" t="s">
        <v>95</v>
      </c>
      <c r="C107" s="34"/>
      <c r="D107" s="35"/>
    </row>
    <row r="108" spans="1:4" ht="15.75">
      <c r="A108" s="191" t="s">
        <v>96</v>
      </c>
      <c r="B108" s="21" t="s">
        <v>97</v>
      </c>
      <c r="C108" s="191"/>
      <c r="D108" s="194"/>
    </row>
    <row r="109" spans="1:4" ht="16.5" thickBot="1">
      <c r="A109" s="193"/>
      <c r="B109" s="22" t="s">
        <v>98</v>
      </c>
      <c r="C109" s="193"/>
      <c r="D109" s="195"/>
    </row>
    <row r="110" spans="1:4" ht="15.75">
      <c r="A110" s="3"/>
    </row>
    <row r="111" spans="1:4" ht="15.75">
      <c r="A111" s="3"/>
    </row>
    <row r="112" spans="1:4" ht="15.75">
      <c r="A112" s="3"/>
    </row>
    <row r="113" spans="1:9" ht="60.75" thickBot="1">
      <c r="A113" s="37" t="s">
        <v>99</v>
      </c>
      <c r="B113" s="25"/>
      <c r="C113" s="26"/>
      <c r="D113" s="25"/>
      <c r="E113" s="26"/>
      <c r="F113" s="25"/>
      <c r="G113" s="26"/>
      <c r="H113" s="25"/>
      <c r="I113" s="25"/>
    </row>
    <row r="114" spans="1:9">
      <c r="A114" s="27"/>
      <c r="B114" s="27"/>
      <c r="C114" s="28" t="s">
        <v>74</v>
      </c>
      <c r="D114" s="27"/>
      <c r="E114" s="28" t="s">
        <v>75</v>
      </c>
      <c r="F114" s="27"/>
      <c r="G114" s="28" t="s">
        <v>76</v>
      </c>
      <c r="H114" s="29"/>
      <c r="I114" s="29"/>
    </row>
    <row r="115" spans="1:9" ht="24.75" thickBot="1">
      <c r="A115" s="24" t="s">
        <v>77</v>
      </c>
      <c r="B115" s="25"/>
      <c r="C115" s="26"/>
      <c r="D115" s="25"/>
      <c r="E115" s="26"/>
      <c r="F115" s="25"/>
      <c r="G115" s="25"/>
      <c r="H115" s="25"/>
      <c r="I115" s="25"/>
    </row>
    <row r="116" spans="1:9">
      <c r="A116" s="29"/>
      <c r="B116" s="27"/>
      <c r="C116" s="29" t="s">
        <v>75</v>
      </c>
      <c r="D116" s="27"/>
      <c r="E116" s="29" t="s">
        <v>76</v>
      </c>
      <c r="F116" s="27"/>
      <c r="G116" s="27"/>
      <c r="H116" s="27"/>
      <c r="I116" s="27"/>
    </row>
    <row r="117" spans="1:9" ht="24.75" thickBot="1">
      <c r="A117" s="24" t="s">
        <v>79</v>
      </c>
      <c r="B117" s="25"/>
      <c r="C117" s="30"/>
      <c r="D117" s="25"/>
      <c r="E117" s="30"/>
      <c r="F117" s="25"/>
      <c r="G117" s="26"/>
      <c r="H117" s="25"/>
      <c r="I117" s="26"/>
    </row>
    <row r="118" spans="1:9">
      <c r="A118" s="29"/>
      <c r="B118" s="27"/>
      <c r="C118" s="29" t="s">
        <v>74</v>
      </c>
      <c r="D118" s="27"/>
      <c r="E118" s="29" t="s">
        <v>75</v>
      </c>
      <c r="F118" s="27"/>
      <c r="G118" s="29" t="s">
        <v>76</v>
      </c>
      <c r="H118" s="27"/>
      <c r="I118" s="29" t="s">
        <v>81</v>
      </c>
    </row>
    <row r="119" spans="1:9" ht="18.75">
      <c r="A119" s="7"/>
    </row>
    <row r="120" spans="1:9" ht="18.75">
      <c r="A120" s="7"/>
    </row>
    <row r="121" spans="1:9" ht="18.75">
      <c r="A121" s="7"/>
    </row>
    <row r="122" spans="1:9" ht="18.75">
      <c r="A122" s="7"/>
    </row>
    <row r="123" spans="1:9" ht="18.75">
      <c r="A123" s="7"/>
    </row>
  </sheetData>
  <mergeCells count="23">
    <mergeCell ref="A108:A109"/>
    <mergeCell ref="C108:C109"/>
    <mergeCell ref="D108:D109"/>
    <mergeCell ref="G28:G29"/>
    <mergeCell ref="H28:H29"/>
    <mergeCell ref="I28:I29"/>
    <mergeCell ref="J28:J29"/>
    <mergeCell ref="A98:A102"/>
    <mergeCell ref="B98:B102"/>
    <mergeCell ref="D98:D102"/>
    <mergeCell ref="A28:A29"/>
    <mergeCell ref="B28:B29"/>
    <mergeCell ref="C28:C29"/>
    <mergeCell ref="D28:D29"/>
    <mergeCell ref="E28:E29"/>
    <mergeCell ref="F28:F29"/>
    <mergeCell ref="D20:D24"/>
    <mergeCell ref="E20:F22"/>
    <mergeCell ref="G20:G24"/>
    <mergeCell ref="H20:I23"/>
    <mergeCell ref="J20:J22"/>
    <mergeCell ref="E23:E24"/>
    <mergeCell ref="F23:F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125"/>
  <sheetViews>
    <sheetView topLeftCell="A37" workbookViewId="0">
      <selection activeCell="G53" sqref="G53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8.140625" customWidth="1"/>
    <col min="6" max="6" width="18.5703125" customWidth="1"/>
    <col min="7" max="7" width="18.85546875" customWidth="1"/>
    <col min="8" max="8" width="23.7109375" customWidth="1"/>
    <col min="9" max="9" width="26.5703125" customWidth="1"/>
  </cols>
  <sheetData>
    <row r="2" spans="1:9" ht="21">
      <c r="H2" s="92" t="s">
        <v>135</v>
      </c>
    </row>
    <row r="3" spans="1:9" ht="15.75">
      <c r="A3" s="1"/>
      <c r="F3" s="1"/>
      <c r="G3" s="1"/>
      <c r="H3" s="1" t="s">
        <v>0</v>
      </c>
      <c r="I3" s="1"/>
    </row>
    <row r="4" spans="1:9" ht="15.75">
      <c r="A4" s="1"/>
      <c r="F4" s="1"/>
      <c r="G4" s="1"/>
      <c r="H4" s="1" t="s">
        <v>1</v>
      </c>
      <c r="I4" s="1"/>
    </row>
    <row r="5" spans="1:9" ht="15.75">
      <c r="A5" s="1"/>
      <c r="F5" s="1"/>
      <c r="G5" s="1"/>
      <c r="H5" s="1" t="s">
        <v>2</v>
      </c>
      <c r="I5" s="1"/>
    </row>
    <row r="6" spans="1:9" ht="15.75">
      <c r="A6" s="1"/>
      <c r="F6" s="1"/>
      <c r="G6" s="1"/>
      <c r="H6" s="1" t="s">
        <v>3</v>
      </c>
      <c r="I6" s="1"/>
    </row>
    <row r="7" spans="1:9" ht="15.75">
      <c r="A7" s="1"/>
      <c r="F7" s="1"/>
      <c r="G7" s="1"/>
      <c r="H7" s="1" t="s">
        <v>4</v>
      </c>
      <c r="I7" s="1"/>
    </row>
    <row r="8" spans="1:9" ht="15.75">
      <c r="A8" s="1"/>
      <c r="F8" s="1"/>
      <c r="G8" s="1"/>
      <c r="H8" s="1" t="s">
        <v>5</v>
      </c>
      <c r="I8" s="1"/>
    </row>
    <row r="9" spans="1:9" ht="15.75">
      <c r="A9" s="1"/>
      <c r="F9" s="1"/>
      <c r="G9" s="1"/>
      <c r="H9" s="1" t="s">
        <v>6</v>
      </c>
      <c r="I9" s="1"/>
    </row>
    <row r="10" spans="1:9" ht="15.75">
      <c r="A10" s="2"/>
      <c r="F10" s="2"/>
      <c r="G10" s="2"/>
      <c r="H10" s="2" t="s">
        <v>7</v>
      </c>
      <c r="I10" s="2"/>
    </row>
    <row r="11" spans="1:9" ht="15.75">
      <c r="A11" s="1"/>
      <c r="F11" s="1"/>
      <c r="G11" s="1"/>
      <c r="H11" s="1" t="s">
        <v>8</v>
      </c>
      <c r="I11" s="1"/>
    </row>
    <row r="12" spans="1:9" ht="15.75">
      <c r="A12" s="4"/>
    </row>
    <row r="13" spans="1:9" ht="18.75">
      <c r="A13" s="5"/>
      <c r="B13" s="49" t="s">
        <v>103</v>
      </c>
      <c r="C13" s="49"/>
      <c r="D13" s="49"/>
      <c r="E13" s="48"/>
    </row>
    <row r="14" spans="1:9" ht="15.75">
      <c r="B14" s="50" t="s">
        <v>100</v>
      </c>
      <c r="C14" s="51"/>
      <c r="D14" s="51"/>
      <c r="E14" s="51"/>
    </row>
    <row r="15" spans="1:9" ht="15.75">
      <c r="A15" s="4"/>
      <c r="B15" s="43"/>
      <c r="C15" s="43"/>
      <c r="D15" s="43"/>
      <c r="E15" s="43"/>
    </row>
    <row r="16" spans="1:9" ht="26.25">
      <c r="A16" s="6"/>
      <c r="B16" s="51" t="s">
        <v>137</v>
      </c>
      <c r="C16" s="43"/>
      <c r="D16" s="43"/>
      <c r="E16" s="43"/>
      <c r="H16" s="52">
        <v>2</v>
      </c>
    </row>
    <row r="17" spans="1:9" ht="15.75">
      <c r="A17" s="4"/>
      <c r="B17" s="43"/>
      <c r="C17" s="43"/>
      <c r="D17" s="43"/>
      <c r="E17" s="43"/>
    </row>
    <row r="18" spans="1:9" ht="15.75">
      <c r="A18" s="4"/>
      <c r="B18" s="4"/>
    </row>
    <row r="19" spans="1:9" ht="19.5" thickBot="1">
      <c r="A19" s="7"/>
    </row>
    <row r="20" spans="1:9" ht="47.25">
      <c r="A20" s="129" t="s">
        <v>10</v>
      </c>
      <c r="B20" s="132" t="s">
        <v>12</v>
      </c>
      <c r="C20" s="132" t="s">
        <v>14</v>
      </c>
      <c r="D20" s="179" t="s">
        <v>19</v>
      </c>
      <c r="E20" s="182" t="s">
        <v>20</v>
      </c>
      <c r="F20" s="183"/>
      <c r="G20" s="182" t="s">
        <v>21</v>
      </c>
      <c r="H20" s="196" t="s">
        <v>20</v>
      </c>
      <c r="I20" s="197"/>
    </row>
    <row r="21" spans="1:9" ht="31.5">
      <c r="A21" s="131" t="s">
        <v>11</v>
      </c>
      <c r="B21" s="133" t="s">
        <v>13</v>
      </c>
      <c r="C21" s="133" t="s">
        <v>15</v>
      </c>
      <c r="D21" s="180"/>
      <c r="E21" s="184"/>
      <c r="F21" s="185"/>
      <c r="G21" s="184"/>
      <c r="H21" s="198"/>
      <c r="I21" s="199"/>
    </row>
    <row r="22" spans="1:9" ht="48" thickBot="1">
      <c r="A22" s="8"/>
      <c r="B22" s="10"/>
      <c r="C22" s="133" t="s">
        <v>16</v>
      </c>
      <c r="D22" s="180"/>
      <c r="E22" s="186"/>
      <c r="F22" s="187"/>
      <c r="G22" s="184"/>
      <c r="H22" s="198"/>
      <c r="I22" s="199"/>
    </row>
    <row r="23" spans="1:9" ht="47.25">
      <c r="A23" s="8"/>
      <c r="B23" s="10"/>
      <c r="C23" s="133" t="s">
        <v>17</v>
      </c>
      <c r="D23" s="180"/>
      <c r="E23" s="189">
        <v>130</v>
      </c>
      <c r="F23" s="189">
        <v>180</v>
      </c>
      <c r="G23" s="184"/>
      <c r="H23" s="200"/>
      <c r="I23" s="201"/>
    </row>
    <row r="24" spans="1:9" ht="32.25" thickBot="1">
      <c r="A24" s="9"/>
      <c r="B24" s="11"/>
      <c r="C24" s="134" t="s">
        <v>18</v>
      </c>
      <c r="D24" s="181"/>
      <c r="E24" s="190"/>
      <c r="F24" s="190"/>
      <c r="G24" s="181"/>
      <c r="H24" s="53">
        <v>130</v>
      </c>
      <c r="I24" s="53">
        <v>180</v>
      </c>
    </row>
    <row r="25" spans="1:9" ht="16.5" thickBot="1">
      <c r="A25" s="130">
        <v>1</v>
      </c>
      <c r="B25" s="134">
        <v>2</v>
      </c>
      <c r="C25" s="134">
        <v>3</v>
      </c>
      <c r="D25" s="134">
        <v>4</v>
      </c>
      <c r="E25" s="134"/>
      <c r="F25" s="134"/>
      <c r="G25" s="134"/>
      <c r="H25" s="134">
        <v>5</v>
      </c>
      <c r="I25" s="134">
        <v>6</v>
      </c>
    </row>
    <row r="26" spans="1:9" ht="19.5" thickBot="1">
      <c r="A26" s="130" t="s">
        <v>24</v>
      </c>
      <c r="B26" s="134" t="s">
        <v>105</v>
      </c>
      <c r="C26" s="134" t="s">
        <v>26</v>
      </c>
      <c r="D26" s="134">
        <f>E26+F26</f>
        <v>1894860</v>
      </c>
      <c r="E26" s="134">
        <v>1594860</v>
      </c>
      <c r="F26" s="134">
        <v>300000</v>
      </c>
      <c r="G26" s="53">
        <f>H26+I26</f>
        <v>1894860</v>
      </c>
      <c r="H26" s="134">
        <v>1594860</v>
      </c>
      <c r="I26" s="134">
        <v>300000</v>
      </c>
    </row>
    <row r="27" spans="1:9" ht="19.5" thickBot="1">
      <c r="A27" s="130"/>
      <c r="B27" s="134" t="s">
        <v>106</v>
      </c>
      <c r="C27" s="134" t="s">
        <v>26</v>
      </c>
      <c r="D27" s="134">
        <v>7525.82</v>
      </c>
      <c r="E27" s="134">
        <v>7525.82</v>
      </c>
      <c r="F27" s="134"/>
      <c r="G27" s="53">
        <v>7525.82</v>
      </c>
      <c r="H27" s="134">
        <v>7525.82</v>
      </c>
      <c r="I27" s="134"/>
    </row>
    <row r="28" spans="1:9" ht="19.5" thickBot="1">
      <c r="A28" s="130"/>
      <c r="B28" s="134" t="s">
        <v>113</v>
      </c>
      <c r="C28" s="134"/>
      <c r="D28" s="134">
        <f>E28+F28</f>
        <v>89304.53</v>
      </c>
      <c r="E28" s="134">
        <v>27077.68</v>
      </c>
      <c r="F28" s="134">
        <v>62226.85</v>
      </c>
      <c r="G28" s="53">
        <f>H28+I28</f>
        <v>89304.53</v>
      </c>
      <c r="H28" s="134">
        <v>27077.68</v>
      </c>
      <c r="I28" s="134">
        <v>62226.85</v>
      </c>
    </row>
    <row r="29" spans="1:9" ht="38.25" customHeight="1" thickBot="1">
      <c r="A29" s="130" t="s">
        <v>27</v>
      </c>
      <c r="B29" s="134" t="s">
        <v>112</v>
      </c>
      <c r="C29" s="134" t="s">
        <v>29</v>
      </c>
      <c r="D29" s="134">
        <f>E29+F29</f>
        <v>96830.35</v>
      </c>
      <c r="E29" s="134">
        <f>E27+E28</f>
        <v>34603.5</v>
      </c>
      <c r="F29" s="134">
        <f>F28</f>
        <v>62226.85</v>
      </c>
      <c r="G29" s="39">
        <f>G27+G28</f>
        <v>96830.35</v>
      </c>
      <c r="H29" s="39">
        <f>H27+H28</f>
        <v>34603.5</v>
      </c>
      <c r="I29" s="39">
        <f>I28</f>
        <v>62226.85</v>
      </c>
    </row>
    <row r="30" spans="1:9" ht="27" customHeight="1">
      <c r="A30" s="179" t="s">
        <v>30</v>
      </c>
      <c r="B30" s="179" t="s">
        <v>132</v>
      </c>
      <c r="C30" s="179" t="s">
        <v>32</v>
      </c>
      <c r="D30" s="179">
        <f>E30+F30</f>
        <v>418441.13</v>
      </c>
      <c r="E30" s="179">
        <v>338441.13</v>
      </c>
      <c r="F30" s="179">
        <v>80000</v>
      </c>
      <c r="G30" s="179">
        <f>H30+I30</f>
        <v>1727229.4999999998</v>
      </c>
      <c r="H30" s="179">
        <f>396192.13+192611.07+223448.75+228063.3+12689.92+103776+338441.13</f>
        <v>1495222.2999999998</v>
      </c>
      <c r="I30" s="179">
        <f>152007.2+80000</f>
        <v>232007.2</v>
      </c>
    </row>
    <row r="31" spans="1:9" ht="24" customHeight="1" thickBot="1">
      <c r="A31" s="181"/>
      <c r="B31" s="181"/>
      <c r="C31" s="181"/>
      <c r="D31" s="181"/>
      <c r="E31" s="181"/>
      <c r="F31" s="181"/>
      <c r="G31" s="180"/>
      <c r="H31" s="181"/>
      <c r="I31" s="181"/>
    </row>
    <row r="32" spans="1:9" ht="47.25" customHeight="1" thickBot="1">
      <c r="A32" s="41" t="s">
        <v>33</v>
      </c>
      <c r="B32" s="38" t="s">
        <v>34</v>
      </c>
      <c r="C32" s="38">
        <v>900</v>
      </c>
      <c r="D32" s="38">
        <f>D34+D39+D46+D49+D50</f>
        <v>157348.74000000002</v>
      </c>
      <c r="E32" s="38">
        <f>E34+E39+E46+E49+E50</f>
        <v>157348.74000000002</v>
      </c>
      <c r="F32" s="97">
        <f>F34+F5039+F46+F49+F50</f>
        <v>0</v>
      </c>
      <c r="G32" s="98">
        <f t="shared" ref="G32" si="0">H32+I32</f>
        <v>1376832.58</v>
      </c>
      <c r="H32" s="38">
        <f>H34+H39+H46+H49+H50</f>
        <v>1287052.23</v>
      </c>
      <c r="I32" s="38">
        <f>I34+I39+I46+I49+I50</f>
        <v>89780.35</v>
      </c>
    </row>
    <row r="33" spans="1:9" ht="16.5" thickBot="1">
      <c r="A33" s="130"/>
      <c r="B33" s="134" t="s">
        <v>35</v>
      </c>
      <c r="C33" s="134"/>
      <c r="D33" s="134"/>
      <c r="E33" s="134"/>
      <c r="F33" s="93"/>
      <c r="G33" s="95"/>
      <c r="H33" s="134"/>
      <c r="I33" s="134"/>
    </row>
    <row r="34" spans="1:9" ht="32.25" thickBot="1">
      <c r="A34" s="130" t="s">
        <v>36</v>
      </c>
      <c r="B34" s="134" t="s">
        <v>37</v>
      </c>
      <c r="C34" s="13">
        <v>210</v>
      </c>
      <c r="D34" s="13">
        <f>D36+D37+D38</f>
        <v>6704.04</v>
      </c>
      <c r="E34" s="13">
        <f t="shared" ref="E34:F34" si="1">E36+E37+E38</f>
        <v>6704.04</v>
      </c>
      <c r="F34" s="99">
        <f t="shared" si="1"/>
        <v>0</v>
      </c>
      <c r="G34" s="100">
        <f t="shared" ref="G34" si="2">H34+I34</f>
        <v>31299.879999999997</v>
      </c>
      <c r="H34" s="13">
        <f>H36+H37+H38</f>
        <v>31299.879999999997</v>
      </c>
      <c r="I34" s="13">
        <f>I36+I37+I38</f>
        <v>0</v>
      </c>
    </row>
    <row r="35" spans="1:9" ht="16.5" thickBot="1">
      <c r="A35" s="130"/>
      <c r="B35" s="134" t="s">
        <v>38</v>
      </c>
      <c r="C35" s="134"/>
      <c r="D35" s="134"/>
      <c r="E35" s="134"/>
      <c r="F35" s="93"/>
      <c r="G35" s="95"/>
      <c r="H35" s="134"/>
      <c r="I35" s="134"/>
    </row>
    <row r="36" spans="1:9" ht="16.5" thickBot="1">
      <c r="A36" s="130" t="s">
        <v>39</v>
      </c>
      <c r="B36" s="134" t="s">
        <v>40</v>
      </c>
      <c r="C36" s="134">
        <v>211</v>
      </c>
      <c r="D36" s="134">
        <f>E36+F36</f>
        <v>5149.03</v>
      </c>
      <c r="E36" s="134">
        <v>5149.03</v>
      </c>
      <c r="F36" s="93"/>
      <c r="G36" s="95">
        <f t="shared" ref="G36" si="3">H36+I36</f>
        <v>24188.649999999998</v>
      </c>
      <c r="H36" s="134">
        <f>19039.62+5149.03</f>
        <v>24188.649999999998</v>
      </c>
      <c r="I36" s="134"/>
    </row>
    <row r="37" spans="1:9" ht="16.5" thickBot="1">
      <c r="A37" s="130" t="s">
        <v>41</v>
      </c>
      <c r="B37" s="134" t="s">
        <v>42</v>
      </c>
      <c r="C37" s="134">
        <v>212</v>
      </c>
      <c r="D37" s="134">
        <v>0</v>
      </c>
      <c r="E37" s="134"/>
      <c r="F37" s="93"/>
      <c r="G37" s="95"/>
      <c r="H37" s="134"/>
      <c r="I37" s="134">
        <v>0</v>
      </c>
    </row>
    <row r="38" spans="1:9" ht="16.5" thickBot="1">
      <c r="A38" s="130" t="s">
        <v>43</v>
      </c>
      <c r="B38" s="134" t="s">
        <v>44</v>
      </c>
      <c r="C38" s="134">
        <v>213</v>
      </c>
      <c r="D38" s="134">
        <f>E38+F38</f>
        <v>1555.01</v>
      </c>
      <c r="E38" s="134">
        <v>1555.01</v>
      </c>
      <c r="F38" s="93"/>
      <c r="G38" s="95">
        <f t="shared" ref="G38" si="4">H38+I38</f>
        <v>7111.2300000000005</v>
      </c>
      <c r="H38" s="134">
        <f>5556.22+1555.01</f>
        <v>7111.2300000000005</v>
      </c>
      <c r="I38" s="134">
        <v>0</v>
      </c>
    </row>
    <row r="39" spans="1:9" ht="16.5" thickBot="1">
      <c r="A39" s="130" t="s">
        <v>45</v>
      </c>
      <c r="B39" s="134" t="s">
        <v>46</v>
      </c>
      <c r="C39" s="14">
        <v>220</v>
      </c>
      <c r="D39" s="14">
        <f t="shared" ref="D39:I39" si="5">D41+D42+D43+D44+D45</f>
        <v>0</v>
      </c>
      <c r="E39" s="14">
        <f t="shared" si="5"/>
        <v>0</v>
      </c>
      <c r="F39" s="96">
        <f t="shared" si="5"/>
        <v>0</v>
      </c>
      <c r="G39" s="100">
        <f>H39</f>
        <v>25844.67</v>
      </c>
      <c r="H39" s="14">
        <f t="shared" si="5"/>
        <v>25844.67</v>
      </c>
      <c r="I39" s="14">
        <f t="shared" si="5"/>
        <v>0</v>
      </c>
    </row>
    <row r="40" spans="1:9" ht="16.5" thickBot="1">
      <c r="A40" s="130"/>
      <c r="B40" s="134" t="s">
        <v>38</v>
      </c>
      <c r="C40" s="134"/>
      <c r="D40" s="134"/>
      <c r="E40" s="134"/>
      <c r="F40" s="93"/>
      <c r="G40" s="95">
        <f t="shared" ref="G40" si="6">H40+I40</f>
        <v>0</v>
      </c>
      <c r="H40" s="134"/>
      <c r="I40" s="134"/>
    </row>
    <row r="41" spans="1:9" ht="16.5" thickBot="1">
      <c r="A41" s="130" t="s">
        <v>47</v>
      </c>
      <c r="B41" s="134" t="s">
        <v>48</v>
      </c>
      <c r="C41" s="134">
        <v>221</v>
      </c>
      <c r="D41" s="134">
        <v>0</v>
      </c>
      <c r="E41" s="134"/>
      <c r="F41" s="93"/>
      <c r="G41" s="95"/>
      <c r="H41" s="134"/>
      <c r="I41" s="134"/>
    </row>
    <row r="42" spans="1:9" ht="26.25" customHeight="1" thickBot="1">
      <c r="A42" s="130" t="s">
        <v>49</v>
      </c>
      <c r="B42" s="134" t="s">
        <v>50</v>
      </c>
      <c r="C42" s="134">
        <v>222</v>
      </c>
      <c r="D42" s="134">
        <v>0</v>
      </c>
      <c r="E42" s="134"/>
      <c r="F42" s="93"/>
      <c r="G42" s="95">
        <f t="shared" ref="G42" si="7">H42+I42</f>
        <v>0</v>
      </c>
      <c r="H42" s="134"/>
      <c r="I42" s="134"/>
    </row>
    <row r="43" spans="1:9" ht="29.25" customHeight="1" thickBot="1">
      <c r="A43" s="130" t="s">
        <v>51</v>
      </c>
      <c r="B43" s="134" t="s">
        <v>52</v>
      </c>
      <c r="C43" s="134">
        <v>223</v>
      </c>
      <c r="D43" s="134">
        <v>0</v>
      </c>
      <c r="E43" s="134"/>
      <c r="F43" s="93"/>
      <c r="G43" s="95"/>
      <c r="H43" s="134"/>
      <c r="I43" s="134"/>
    </row>
    <row r="44" spans="1:9" ht="16.5" thickBot="1">
      <c r="A44" s="130" t="s">
        <v>53</v>
      </c>
      <c r="B44" s="134" t="s">
        <v>54</v>
      </c>
      <c r="C44" s="134">
        <v>225</v>
      </c>
      <c r="D44" s="134">
        <v>0</v>
      </c>
      <c r="E44" s="134"/>
      <c r="F44" s="93"/>
      <c r="G44" s="95">
        <f t="shared" ref="G44" si="8">H44+I44</f>
        <v>0</v>
      </c>
      <c r="H44" s="134"/>
      <c r="I44" s="134">
        <v>0</v>
      </c>
    </row>
    <row r="45" spans="1:9" ht="30" customHeight="1" thickBot="1">
      <c r="A45" s="130" t="s">
        <v>55</v>
      </c>
      <c r="B45" s="134" t="s">
        <v>56</v>
      </c>
      <c r="C45" s="134">
        <v>226</v>
      </c>
      <c r="D45" s="134">
        <f>E45+F45</f>
        <v>0</v>
      </c>
      <c r="E45" s="134"/>
      <c r="F45" s="93"/>
      <c r="G45" s="95">
        <f>H45</f>
        <v>25844.67</v>
      </c>
      <c r="H45" s="134">
        <v>25844.67</v>
      </c>
      <c r="I45" s="134">
        <v>0</v>
      </c>
    </row>
    <row r="46" spans="1:9" ht="16.5" thickBot="1">
      <c r="A46" s="130" t="s">
        <v>57</v>
      </c>
      <c r="B46" s="134" t="s">
        <v>58</v>
      </c>
      <c r="C46" s="14">
        <v>260</v>
      </c>
      <c r="D46" s="14">
        <f t="shared" ref="D46:I46" si="9">D48</f>
        <v>0</v>
      </c>
      <c r="E46" s="14">
        <f t="shared" si="9"/>
        <v>0</v>
      </c>
      <c r="F46" s="96">
        <f t="shared" si="9"/>
        <v>0</v>
      </c>
      <c r="G46" s="100">
        <f t="shared" ref="G46" si="10">H46+I46</f>
        <v>0</v>
      </c>
      <c r="H46" s="14">
        <f t="shared" si="9"/>
        <v>0</v>
      </c>
      <c r="I46" s="14">
        <f t="shared" si="9"/>
        <v>0</v>
      </c>
    </row>
    <row r="47" spans="1:9" ht="16.5" thickBot="1">
      <c r="A47" s="130"/>
      <c r="B47" s="134" t="s">
        <v>38</v>
      </c>
      <c r="C47" s="134"/>
      <c r="D47" s="134"/>
      <c r="E47" s="134"/>
      <c r="F47" s="93"/>
      <c r="G47" s="95"/>
      <c r="H47" s="134"/>
      <c r="I47" s="134"/>
    </row>
    <row r="48" spans="1:9" ht="16.5" thickBot="1">
      <c r="A48" s="130" t="s">
        <v>59</v>
      </c>
      <c r="B48" s="134" t="s">
        <v>60</v>
      </c>
      <c r="C48" s="134">
        <v>262</v>
      </c>
      <c r="D48" s="134"/>
      <c r="E48" s="134"/>
      <c r="F48" s="93"/>
      <c r="G48" s="95">
        <f t="shared" ref="G48" si="11">H48+I48</f>
        <v>0</v>
      </c>
      <c r="H48" s="134"/>
      <c r="I48" s="134">
        <v>0</v>
      </c>
    </row>
    <row r="49" spans="1:9" ht="38.25" customHeight="1" thickBot="1">
      <c r="A49" s="130" t="s">
        <v>61</v>
      </c>
      <c r="B49" s="134" t="s">
        <v>62</v>
      </c>
      <c r="C49" s="14">
        <v>290</v>
      </c>
      <c r="D49" s="14">
        <f>E49</f>
        <v>2582</v>
      </c>
      <c r="E49" s="14">
        <v>2582</v>
      </c>
      <c r="F49" s="96">
        <v>0</v>
      </c>
      <c r="G49" s="101">
        <f>H49</f>
        <v>9779</v>
      </c>
      <c r="H49" s="14">
        <f>4909+2288+2582</f>
        <v>9779</v>
      </c>
      <c r="I49" s="14">
        <v>0</v>
      </c>
    </row>
    <row r="50" spans="1:9" ht="33" customHeight="1" thickBot="1">
      <c r="A50" s="130" t="s">
        <v>63</v>
      </c>
      <c r="B50" s="134" t="s">
        <v>64</v>
      </c>
      <c r="C50" s="14">
        <v>300</v>
      </c>
      <c r="D50" s="14">
        <f>E50+F50</f>
        <v>148062.70000000001</v>
      </c>
      <c r="E50" s="14">
        <f t="shared" ref="E50:I50" si="12">E52+E53</f>
        <v>148062.70000000001</v>
      </c>
      <c r="F50" s="96">
        <f t="shared" si="12"/>
        <v>0</v>
      </c>
      <c r="G50" s="101">
        <f t="shared" ref="G50" si="13">H50+I50</f>
        <v>1309909.03</v>
      </c>
      <c r="H50" s="14">
        <f t="shared" si="12"/>
        <v>1220128.68</v>
      </c>
      <c r="I50" s="14">
        <f t="shared" si="12"/>
        <v>89780.35</v>
      </c>
    </row>
    <row r="51" spans="1:9" ht="16.5" thickBot="1">
      <c r="A51" s="130"/>
      <c r="B51" s="134" t="s">
        <v>38</v>
      </c>
      <c r="C51" s="134"/>
      <c r="D51" s="134"/>
      <c r="E51" s="134"/>
      <c r="F51" s="93"/>
      <c r="G51" s="102"/>
      <c r="H51" s="134"/>
      <c r="I51" s="134"/>
    </row>
    <row r="52" spans="1:9" ht="16.5" thickBot="1">
      <c r="A52" s="130" t="s">
        <v>65</v>
      </c>
      <c r="B52" s="134" t="s">
        <v>66</v>
      </c>
      <c r="C52" s="134">
        <v>310</v>
      </c>
      <c r="D52" s="134">
        <f>E52+F52</f>
        <v>16562.7</v>
      </c>
      <c r="E52" s="134">
        <v>16562.7</v>
      </c>
      <c r="F52" s="135"/>
      <c r="G52" s="102">
        <f>H52+I52</f>
        <v>170617.7</v>
      </c>
      <c r="H52" s="134">
        <f>140055+16562.7</f>
        <v>156617.70000000001</v>
      </c>
      <c r="I52" s="134">
        <v>14000</v>
      </c>
    </row>
    <row r="53" spans="1:9" ht="16.5" thickBot="1">
      <c r="A53" s="130" t="s">
        <v>67</v>
      </c>
      <c r="B53" s="134" t="s">
        <v>68</v>
      </c>
      <c r="C53" s="134">
        <v>340</v>
      </c>
      <c r="D53" s="134">
        <f>E53+F53</f>
        <v>131500</v>
      </c>
      <c r="E53" s="134">
        <v>131500</v>
      </c>
      <c r="F53" s="93"/>
      <c r="G53" s="102">
        <f>H53+I53</f>
        <v>1139291.33</v>
      </c>
      <c r="H53" s="134">
        <f>932010.98+131500</f>
        <v>1063510.98</v>
      </c>
      <c r="I53" s="134">
        <v>75780.350000000006</v>
      </c>
    </row>
    <row r="54" spans="1:9" ht="32.25" thickBot="1">
      <c r="A54" s="15" t="s">
        <v>69</v>
      </c>
      <c r="B54" s="16" t="s">
        <v>70</v>
      </c>
      <c r="C54" s="16" t="s">
        <v>26</v>
      </c>
      <c r="D54" s="120">
        <f>D29+D30-D32</f>
        <v>357922.74</v>
      </c>
      <c r="E54" s="120">
        <f>E29+E30-E32</f>
        <v>215695.88999999998</v>
      </c>
      <c r="F54" s="120">
        <f>F29+F30-F32</f>
        <v>142226.85</v>
      </c>
      <c r="G54" s="120">
        <f>G30-G32+G27</f>
        <v>357922.7399999997</v>
      </c>
      <c r="H54" s="120">
        <f>H30-H32+H27</f>
        <v>215695.88999999984</v>
      </c>
      <c r="I54" s="120">
        <f>I30-I32</f>
        <v>142226.85</v>
      </c>
    </row>
    <row r="55" spans="1:9" ht="18.75">
      <c r="A55" s="23"/>
    </row>
    <row r="56" spans="1:9" ht="60.75" thickBot="1">
      <c r="A56" s="24" t="s">
        <v>71</v>
      </c>
      <c r="B56" s="25"/>
      <c r="C56" s="26" t="s">
        <v>72</v>
      </c>
      <c r="D56" s="25"/>
      <c r="E56" s="26"/>
      <c r="F56" s="25"/>
      <c r="G56" s="26" t="s">
        <v>73</v>
      </c>
      <c r="H56" s="25"/>
      <c r="I56" s="25"/>
    </row>
    <row r="57" spans="1:9">
      <c r="A57" s="27"/>
      <c r="B57" s="27"/>
      <c r="C57" s="28" t="s">
        <v>74</v>
      </c>
      <c r="D57" s="27"/>
      <c r="E57" s="28" t="s">
        <v>75</v>
      </c>
      <c r="F57" s="27"/>
      <c r="G57" s="28" t="s">
        <v>76</v>
      </c>
      <c r="H57" s="29"/>
      <c r="I57" s="29"/>
    </row>
    <row r="58" spans="1:9" ht="24.75" thickBot="1">
      <c r="A58" s="24" t="s">
        <v>77</v>
      </c>
      <c r="B58" s="25"/>
      <c r="C58" s="26"/>
      <c r="D58" s="25"/>
      <c r="E58" s="26" t="s">
        <v>78</v>
      </c>
      <c r="F58" s="25"/>
      <c r="G58" s="25"/>
      <c r="H58" s="25"/>
      <c r="I58" s="25"/>
    </row>
    <row r="59" spans="1:9">
      <c r="A59" s="29"/>
      <c r="B59" s="27"/>
      <c r="C59" s="29" t="s">
        <v>75</v>
      </c>
      <c r="D59" s="27"/>
      <c r="E59" s="29" t="s">
        <v>76</v>
      </c>
      <c r="F59" s="27"/>
      <c r="G59" s="27"/>
      <c r="H59" s="27"/>
      <c r="I59" s="27"/>
    </row>
    <row r="60" spans="1:9" ht="24.75" thickBot="1">
      <c r="A60" s="24" t="s">
        <v>79</v>
      </c>
      <c r="B60" s="25"/>
      <c r="C60" s="30" t="s">
        <v>77</v>
      </c>
      <c r="D60" s="25"/>
      <c r="E60" s="30"/>
      <c r="F60" s="25"/>
      <c r="G60" s="26" t="s">
        <v>78</v>
      </c>
      <c r="H60" s="25"/>
      <c r="I60" s="26" t="s">
        <v>80</v>
      </c>
    </row>
    <row r="61" spans="1:9">
      <c r="A61" s="29"/>
      <c r="B61" s="27"/>
      <c r="C61" s="29" t="s">
        <v>74</v>
      </c>
      <c r="D61" s="27"/>
      <c r="E61" s="29" t="s">
        <v>75</v>
      </c>
      <c r="F61" s="27"/>
      <c r="G61" s="29" t="s">
        <v>76</v>
      </c>
      <c r="H61" s="27"/>
      <c r="I61" s="29" t="s">
        <v>81</v>
      </c>
    </row>
    <row r="62" spans="1:9" ht="18.75">
      <c r="A62" s="7"/>
    </row>
    <row r="63" spans="1:9" ht="18.75">
      <c r="A63" s="7"/>
    </row>
    <row r="64" spans="1:9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6" spans="1:1" ht="18.75">
      <c r="A76" s="7"/>
    </row>
    <row r="77" spans="1:1" ht="18.75">
      <c r="A77" s="7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1"/>
    </row>
    <row r="85" spans="1:1" ht="15.75">
      <c r="A85" s="1"/>
    </row>
    <row r="86" spans="1:1" ht="15.75">
      <c r="A86" s="2" t="s">
        <v>7</v>
      </c>
    </row>
    <row r="87" spans="1:1" ht="15.75">
      <c r="A87" s="1" t="s">
        <v>83</v>
      </c>
    </row>
    <row r="88" spans="1:1" ht="18.75">
      <c r="A88" s="31"/>
    </row>
    <row r="89" spans="1:1" ht="15.75">
      <c r="A89" s="5" t="s">
        <v>84</v>
      </c>
    </row>
    <row r="90" spans="1:1" ht="15.75">
      <c r="A90" s="5" t="s">
        <v>85</v>
      </c>
    </row>
    <row r="91" spans="1:1" ht="15.75">
      <c r="A91" s="5" t="s">
        <v>86</v>
      </c>
    </row>
    <row r="92" spans="1:1" ht="15.75">
      <c r="A92" s="4"/>
    </row>
    <row r="93" spans="1:1" ht="15.75">
      <c r="A93" s="4"/>
    </row>
    <row r="94" spans="1:1" ht="15.75">
      <c r="A94" s="4" t="s">
        <v>9</v>
      </c>
    </row>
    <row r="95" spans="1:1" ht="18.75">
      <c r="A95" s="6"/>
    </row>
    <row r="96" spans="1:1" ht="15.75">
      <c r="A96" s="4" t="s">
        <v>87</v>
      </c>
    </row>
    <row r="97" spans="1:4" ht="15.75">
      <c r="A97" s="4"/>
    </row>
    <row r="98" spans="1:4" ht="18.75">
      <c r="A98" s="7"/>
    </row>
    <row r="99" spans="1:4" ht="16.5" thickBot="1">
      <c r="A99" s="4"/>
    </row>
    <row r="100" spans="1:4" ht="47.25">
      <c r="A100" s="191" t="s">
        <v>88</v>
      </c>
      <c r="B100" s="191" t="s">
        <v>89</v>
      </c>
      <c r="C100" s="32" t="s">
        <v>14</v>
      </c>
      <c r="D100" s="191" t="s">
        <v>92</v>
      </c>
    </row>
    <row r="101" spans="1:4" ht="31.5">
      <c r="A101" s="192"/>
      <c r="B101" s="192"/>
      <c r="C101" s="33" t="s">
        <v>90</v>
      </c>
      <c r="D101" s="192"/>
    </row>
    <row r="102" spans="1:4" ht="47.25">
      <c r="A102" s="192"/>
      <c r="B102" s="192"/>
      <c r="C102" s="33" t="s">
        <v>16</v>
      </c>
      <c r="D102" s="192"/>
    </row>
    <row r="103" spans="1:4" ht="47.25">
      <c r="A103" s="192"/>
      <c r="B103" s="192"/>
      <c r="C103" s="33" t="s">
        <v>17</v>
      </c>
      <c r="D103" s="192"/>
    </row>
    <row r="104" spans="1:4" ht="32.25" thickBot="1">
      <c r="A104" s="193"/>
      <c r="B104" s="193"/>
      <c r="C104" s="34" t="s">
        <v>91</v>
      </c>
      <c r="D104" s="193"/>
    </row>
    <row r="105" spans="1:4" ht="16.5" thickBot="1">
      <c r="A105" s="128">
        <v>1</v>
      </c>
      <c r="B105" s="34">
        <v>2</v>
      </c>
      <c r="C105" s="34">
        <v>3</v>
      </c>
      <c r="D105" s="34">
        <v>4</v>
      </c>
    </row>
    <row r="106" spans="1:4" ht="16.5" thickBot="1">
      <c r="A106" s="128" t="s">
        <v>24</v>
      </c>
      <c r="B106" s="134"/>
      <c r="C106" s="134"/>
      <c r="D106" s="35"/>
    </row>
    <row r="107" spans="1:4" ht="16.5" thickBot="1">
      <c r="A107" s="128" t="s">
        <v>93</v>
      </c>
      <c r="B107" s="134"/>
      <c r="C107" s="134"/>
      <c r="D107" s="35"/>
    </row>
    <row r="108" spans="1:4" ht="16.5" thickBot="1">
      <c r="A108" s="128" t="s">
        <v>94</v>
      </c>
      <c r="B108" s="134"/>
      <c r="C108" s="34"/>
      <c r="D108" s="35"/>
    </row>
    <row r="109" spans="1:4" ht="16.5" thickBot="1">
      <c r="A109" s="128"/>
      <c r="B109" s="134" t="s">
        <v>95</v>
      </c>
      <c r="C109" s="34"/>
      <c r="D109" s="35"/>
    </row>
    <row r="110" spans="1:4" ht="15.75">
      <c r="A110" s="191" t="s">
        <v>96</v>
      </c>
      <c r="B110" s="133" t="s">
        <v>97</v>
      </c>
      <c r="C110" s="191"/>
      <c r="D110" s="194"/>
    </row>
    <row r="111" spans="1:4" ht="16.5" thickBot="1">
      <c r="A111" s="193"/>
      <c r="B111" s="134" t="s">
        <v>98</v>
      </c>
      <c r="C111" s="193"/>
      <c r="D111" s="195"/>
    </row>
    <row r="112" spans="1:4" ht="15.75">
      <c r="A112" s="3"/>
    </row>
    <row r="113" spans="1:9" ht="15.75">
      <c r="A113" s="3"/>
    </row>
    <row r="114" spans="1:9" ht="15.75">
      <c r="A114" s="3"/>
    </row>
    <row r="115" spans="1:9" ht="60.75" thickBot="1">
      <c r="A115" s="37" t="s">
        <v>99</v>
      </c>
      <c r="B115" s="25"/>
      <c r="C115" s="26"/>
      <c r="D115" s="25"/>
      <c r="E115" s="26"/>
      <c r="F115" s="25"/>
      <c r="G115" s="26"/>
      <c r="H115" s="25"/>
      <c r="I115" s="25"/>
    </row>
    <row r="116" spans="1:9">
      <c r="A116" s="27"/>
      <c r="B116" s="27"/>
      <c r="C116" s="28" t="s">
        <v>74</v>
      </c>
      <c r="D116" s="27"/>
      <c r="E116" s="28" t="s">
        <v>75</v>
      </c>
      <c r="F116" s="27"/>
      <c r="G116" s="28" t="s">
        <v>76</v>
      </c>
      <c r="H116" s="29"/>
      <c r="I116" s="29"/>
    </row>
    <row r="117" spans="1:9" ht="24.75" thickBot="1">
      <c r="A117" s="24" t="s">
        <v>77</v>
      </c>
      <c r="B117" s="25"/>
      <c r="C117" s="26"/>
      <c r="D117" s="25"/>
      <c r="E117" s="26"/>
      <c r="F117" s="25"/>
      <c r="G117" s="25"/>
      <c r="H117" s="25"/>
      <c r="I117" s="25"/>
    </row>
    <row r="118" spans="1:9">
      <c r="A118" s="29"/>
      <c r="B118" s="27"/>
      <c r="C118" s="29" t="s">
        <v>75</v>
      </c>
      <c r="D118" s="27"/>
      <c r="E118" s="29" t="s">
        <v>76</v>
      </c>
      <c r="F118" s="27"/>
      <c r="G118" s="27"/>
      <c r="H118" s="27"/>
      <c r="I118" s="27"/>
    </row>
    <row r="119" spans="1:9" ht="24.75" thickBot="1">
      <c r="A119" s="24" t="s">
        <v>79</v>
      </c>
      <c r="B119" s="25"/>
      <c r="C119" s="30"/>
      <c r="D119" s="25"/>
      <c r="E119" s="30"/>
      <c r="F119" s="25"/>
      <c r="G119" s="26"/>
      <c r="H119" s="25"/>
      <c r="I119" s="26"/>
    </row>
    <row r="120" spans="1:9">
      <c r="A120" s="29"/>
      <c r="B120" s="27"/>
      <c r="C120" s="29" t="s">
        <v>74</v>
      </c>
      <c r="D120" s="27"/>
      <c r="E120" s="29" t="s">
        <v>75</v>
      </c>
      <c r="F120" s="27"/>
      <c r="G120" s="29" t="s">
        <v>76</v>
      </c>
      <c r="H120" s="27"/>
      <c r="I120" s="29" t="s">
        <v>81</v>
      </c>
    </row>
    <row r="121" spans="1:9" ht="18.75">
      <c r="A121" s="7"/>
    </row>
    <row r="122" spans="1:9" ht="18.75">
      <c r="A122" s="7"/>
    </row>
    <row r="123" spans="1:9" ht="18.75">
      <c r="A123" s="7"/>
    </row>
    <row r="124" spans="1:9" ht="18.75">
      <c r="A124" s="7"/>
    </row>
    <row r="125" spans="1:9" ht="18.75">
      <c r="A125" s="7"/>
    </row>
  </sheetData>
  <mergeCells count="21">
    <mergeCell ref="A110:A111"/>
    <mergeCell ref="C110:C111"/>
    <mergeCell ref="D110:D111"/>
    <mergeCell ref="G30:G31"/>
    <mergeCell ref="H30:H31"/>
    <mergeCell ref="I30:I31"/>
    <mergeCell ref="A100:A104"/>
    <mergeCell ref="B100:B104"/>
    <mergeCell ref="D100:D104"/>
    <mergeCell ref="A30:A31"/>
    <mergeCell ref="B30:B31"/>
    <mergeCell ref="C30:C31"/>
    <mergeCell ref="D30:D31"/>
    <mergeCell ref="E30:E31"/>
    <mergeCell ref="F30:F31"/>
    <mergeCell ref="D20:D24"/>
    <mergeCell ref="E20:F22"/>
    <mergeCell ref="G20:G24"/>
    <mergeCell ref="H20:I23"/>
    <mergeCell ref="E23:E24"/>
    <mergeCell ref="F23:F2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125"/>
  <sheetViews>
    <sheetView topLeftCell="A40" workbookViewId="0">
      <selection activeCell="H32" sqref="H32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8.140625" customWidth="1"/>
    <col min="6" max="6" width="18.5703125" customWidth="1"/>
    <col min="7" max="7" width="18.85546875" customWidth="1"/>
    <col min="8" max="8" width="23.7109375" customWidth="1"/>
    <col min="9" max="9" width="26.5703125" customWidth="1"/>
  </cols>
  <sheetData>
    <row r="2" spans="1:9" ht="21">
      <c r="H2" s="92" t="s">
        <v>139</v>
      </c>
    </row>
    <row r="3" spans="1:9" ht="15.75">
      <c r="A3" s="1"/>
      <c r="F3" s="1"/>
      <c r="G3" s="1"/>
      <c r="H3" s="1" t="s">
        <v>0</v>
      </c>
      <c r="I3" s="1"/>
    </row>
    <row r="4" spans="1:9" ht="15.75">
      <c r="A4" s="1"/>
      <c r="F4" s="1"/>
      <c r="G4" s="1"/>
      <c r="H4" s="1" t="s">
        <v>1</v>
      </c>
      <c r="I4" s="1"/>
    </row>
    <row r="5" spans="1:9" ht="15.75">
      <c r="A5" s="1"/>
      <c r="F5" s="1"/>
      <c r="G5" s="1"/>
      <c r="H5" s="1" t="s">
        <v>2</v>
      </c>
      <c r="I5" s="1"/>
    </row>
    <row r="6" spans="1:9" ht="15.75">
      <c r="A6" s="1"/>
      <c r="F6" s="1"/>
      <c r="G6" s="1"/>
      <c r="H6" s="1" t="s">
        <v>3</v>
      </c>
      <c r="I6" s="1"/>
    </row>
    <row r="7" spans="1:9" ht="15.75">
      <c r="A7" s="1"/>
      <c r="F7" s="1"/>
      <c r="G7" s="1"/>
      <c r="H7" s="1" t="s">
        <v>4</v>
      </c>
      <c r="I7" s="1"/>
    </row>
    <row r="8" spans="1:9" ht="15.75">
      <c r="A8" s="1"/>
      <c r="F8" s="1"/>
      <c r="G8" s="1"/>
      <c r="H8" s="1" t="s">
        <v>5</v>
      </c>
      <c r="I8" s="1"/>
    </row>
    <row r="9" spans="1:9" ht="15.75">
      <c r="A9" s="1"/>
      <c r="F9" s="1"/>
      <c r="G9" s="1"/>
      <c r="H9" s="1" t="s">
        <v>6</v>
      </c>
      <c r="I9" s="1"/>
    </row>
    <row r="10" spans="1:9" ht="15.75">
      <c r="A10" s="2"/>
      <c r="F10" s="2"/>
      <c r="G10" s="2"/>
      <c r="H10" s="2" t="s">
        <v>7</v>
      </c>
      <c r="I10" s="2"/>
    </row>
    <row r="11" spans="1:9" ht="15.75">
      <c r="A11" s="1"/>
      <c r="F11" s="1"/>
      <c r="G11" s="1"/>
      <c r="H11" s="1" t="s">
        <v>8</v>
      </c>
      <c r="I11" s="1"/>
    </row>
    <row r="12" spans="1:9" ht="15.75">
      <c r="A12" s="4"/>
    </row>
    <row r="13" spans="1:9" ht="18.75">
      <c r="A13" s="5"/>
      <c r="B13" s="49" t="s">
        <v>103</v>
      </c>
      <c r="C13" s="49"/>
      <c r="D13" s="49"/>
      <c r="E13" s="48"/>
    </row>
    <row r="14" spans="1:9" ht="15.75">
      <c r="B14" s="50" t="s">
        <v>100</v>
      </c>
      <c r="C14" s="51"/>
      <c r="D14" s="51"/>
      <c r="E14" s="51"/>
    </row>
    <row r="15" spans="1:9" ht="15.75">
      <c r="A15" s="4"/>
      <c r="B15" s="43"/>
      <c r="C15" s="43"/>
      <c r="D15" s="43"/>
      <c r="E15" s="43"/>
    </row>
    <row r="16" spans="1:9" ht="26.25">
      <c r="A16" s="6"/>
      <c r="B16" s="51" t="s">
        <v>141</v>
      </c>
      <c r="C16" s="43"/>
      <c r="D16" s="43"/>
      <c r="E16" s="43"/>
      <c r="H16" s="52">
        <v>2</v>
      </c>
    </row>
    <row r="17" spans="1:9" ht="15.75">
      <c r="A17" s="4"/>
      <c r="B17" s="43"/>
      <c r="C17" s="43"/>
      <c r="D17" s="43"/>
      <c r="E17" s="43"/>
    </row>
    <row r="18" spans="1:9" ht="15.75">
      <c r="A18" s="4"/>
      <c r="B18" s="4"/>
    </row>
    <row r="19" spans="1:9" ht="19.5" thickBot="1">
      <c r="A19" s="7"/>
    </row>
    <row r="20" spans="1:9" ht="47.25">
      <c r="A20" s="164" t="s">
        <v>10</v>
      </c>
      <c r="B20" s="167" t="s">
        <v>12</v>
      </c>
      <c r="C20" s="167" t="s">
        <v>14</v>
      </c>
      <c r="D20" s="179" t="s">
        <v>19</v>
      </c>
      <c r="E20" s="182" t="s">
        <v>20</v>
      </c>
      <c r="F20" s="183"/>
      <c r="G20" s="182" t="s">
        <v>21</v>
      </c>
      <c r="H20" s="196" t="s">
        <v>20</v>
      </c>
      <c r="I20" s="197"/>
    </row>
    <row r="21" spans="1:9" ht="31.5">
      <c r="A21" s="166" t="s">
        <v>11</v>
      </c>
      <c r="B21" s="168" t="s">
        <v>13</v>
      </c>
      <c r="C21" s="168" t="s">
        <v>15</v>
      </c>
      <c r="D21" s="180"/>
      <c r="E21" s="184"/>
      <c r="F21" s="185"/>
      <c r="G21" s="184"/>
      <c r="H21" s="198"/>
      <c r="I21" s="199"/>
    </row>
    <row r="22" spans="1:9" ht="48" thickBot="1">
      <c r="A22" s="8"/>
      <c r="B22" s="10"/>
      <c r="C22" s="168" t="s">
        <v>16</v>
      </c>
      <c r="D22" s="180"/>
      <c r="E22" s="186"/>
      <c r="F22" s="187"/>
      <c r="G22" s="184"/>
      <c r="H22" s="198"/>
      <c r="I22" s="199"/>
    </row>
    <row r="23" spans="1:9" ht="47.25">
      <c r="A23" s="8"/>
      <c r="B23" s="10"/>
      <c r="C23" s="168" t="s">
        <v>17</v>
      </c>
      <c r="D23" s="180"/>
      <c r="E23" s="189">
        <v>130</v>
      </c>
      <c r="F23" s="189">
        <v>180</v>
      </c>
      <c r="G23" s="184"/>
      <c r="H23" s="200"/>
      <c r="I23" s="201"/>
    </row>
    <row r="24" spans="1:9" ht="32.25" thickBot="1">
      <c r="A24" s="9"/>
      <c r="B24" s="11"/>
      <c r="C24" s="169" t="s">
        <v>18</v>
      </c>
      <c r="D24" s="181"/>
      <c r="E24" s="190"/>
      <c r="F24" s="190"/>
      <c r="G24" s="181"/>
      <c r="H24" s="53">
        <v>130</v>
      </c>
      <c r="I24" s="53">
        <v>180</v>
      </c>
    </row>
    <row r="25" spans="1:9" ht="16.5" thickBot="1">
      <c r="A25" s="165">
        <v>1</v>
      </c>
      <c r="B25" s="169">
        <v>2</v>
      </c>
      <c r="C25" s="169">
        <v>3</v>
      </c>
      <c r="D25" s="169">
        <v>4</v>
      </c>
      <c r="E25" s="169"/>
      <c r="F25" s="169"/>
      <c r="G25" s="169"/>
      <c r="H25" s="169">
        <v>5</v>
      </c>
      <c r="I25" s="169">
        <v>6</v>
      </c>
    </row>
    <row r="26" spans="1:9" ht="19.5" thickBot="1">
      <c r="A26" s="165" t="s">
        <v>24</v>
      </c>
      <c r="B26" s="169" t="s">
        <v>105</v>
      </c>
      <c r="C26" s="169" t="s">
        <v>26</v>
      </c>
      <c r="D26" s="169">
        <f>E26+F26</f>
        <v>2150000</v>
      </c>
      <c r="E26" s="169">
        <v>1800000</v>
      </c>
      <c r="F26" s="169">
        <v>350000</v>
      </c>
      <c r="G26" s="53">
        <f>H26+I26</f>
        <v>2150000</v>
      </c>
      <c r="H26" s="169">
        <v>1800000</v>
      </c>
      <c r="I26" s="169">
        <v>350000</v>
      </c>
    </row>
    <row r="27" spans="1:9" ht="19.5" thickBot="1">
      <c r="A27" s="165"/>
      <c r="B27" s="169" t="s">
        <v>106</v>
      </c>
      <c r="C27" s="169" t="s">
        <v>26</v>
      </c>
      <c r="D27" s="169">
        <v>7525.82</v>
      </c>
      <c r="E27" s="169">
        <v>7525.82</v>
      </c>
      <c r="F27" s="169"/>
      <c r="G27" s="53">
        <v>7525.82</v>
      </c>
      <c r="H27" s="169">
        <v>7525.82</v>
      </c>
      <c r="I27" s="169"/>
    </row>
    <row r="28" spans="1:9" ht="19.5" thickBot="1">
      <c r="A28" s="165"/>
      <c r="B28" s="169" t="s">
        <v>113</v>
      </c>
      <c r="C28" s="169"/>
      <c r="D28" s="169">
        <f>E28+F28</f>
        <v>350396.92000000004</v>
      </c>
      <c r="E28" s="169">
        <v>208170.07</v>
      </c>
      <c r="F28" s="146">
        <v>142226.85</v>
      </c>
      <c r="G28" s="53">
        <f>H28+I28</f>
        <v>350396.92000000004</v>
      </c>
      <c r="H28" s="169">
        <v>208170.07</v>
      </c>
      <c r="I28" s="169">
        <v>142226.85</v>
      </c>
    </row>
    <row r="29" spans="1:9" ht="38.25" customHeight="1" thickBot="1">
      <c r="A29" s="165" t="s">
        <v>27</v>
      </c>
      <c r="B29" s="169" t="s">
        <v>112</v>
      </c>
      <c r="C29" s="169" t="s">
        <v>29</v>
      </c>
      <c r="D29" s="169">
        <f>E29+F29</f>
        <v>357922.74</v>
      </c>
      <c r="E29" s="169">
        <f>E27+E28</f>
        <v>215695.89</v>
      </c>
      <c r="F29" s="169">
        <f>F28</f>
        <v>142226.85</v>
      </c>
      <c r="G29" s="39">
        <f>G27+G28</f>
        <v>357922.74000000005</v>
      </c>
      <c r="H29" s="39">
        <f>H27+H28</f>
        <v>215695.89</v>
      </c>
      <c r="I29" s="39">
        <f>I28</f>
        <v>142226.85</v>
      </c>
    </row>
    <row r="30" spans="1:9" ht="27" customHeight="1">
      <c r="A30" s="179" t="s">
        <v>30</v>
      </c>
      <c r="B30" s="179" t="s">
        <v>132</v>
      </c>
      <c r="C30" s="179" t="s">
        <v>32</v>
      </c>
      <c r="D30" s="179">
        <f>E30+F30</f>
        <v>261888.38</v>
      </c>
      <c r="E30" s="179">
        <v>181888.38</v>
      </c>
      <c r="F30" s="179">
        <v>80000</v>
      </c>
      <c r="G30" s="179">
        <f>H30+I30</f>
        <v>1989117.8799999997</v>
      </c>
      <c r="H30" s="179">
        <f>396192.13+192611.07+223448.75+228063.3+12689.92+103776+338441.13+181888.38</f>
        <v>1677110.6799999997</v>
      </c>
      <c r="I30" s="179">
        <f>152007.2+80000+80000</f>
        <v>312007.2</v>
      </c>
    </row>
    <row r="31" spans="1:9" ht="24" customHeight="1" thickBot="1">
      <c r="A31" s="181"/>
      <c r="B31" s="181"/>
      <c r="C31" s="181"/>
      <c r="D31" s="181"/>
      <c r="E31" s="181"/>
      <c r="F31" s="181"/>
      <c r="G31" s="180"/>
      <c r="H31" s="181"/>
      <c r="I31" s="181"/>
    </row>
    <row r="32" spans="1:9" ht="47.25" customHeight="1" thickBot="1">
      <c r="A32" s="41" t="s">
        <v>33</v>
      </c>
      <c r="B32" s="38" t="s">
        <v>34</v>
      </c>
      <c r="C32" s="38">
        <v>900</v>
      </c>
      <c r="D32" s="38">
        <f>D34+D39+D46+D49+D50</f>
        <v>342055.3</v>
      </c>
      <c r="E32" s="38">
        <f>E34+E39+E46+E49+E50</f>
        <v>259055.3</v>
      </c>
      <c r="F32" s="97">
        <f>F34+F5039+F46+F49+F50</f>
        <v>83000</v>
      </c>
      <c r="G32" s="98">
        <f t="shared" ref="G32" si="0">H32+I32</f>
        <v>1718887.8800000001</v>
      </c>
      <c r="H32" s="38">
        <f>H34+H39+H46+H49+H50</f>
        <v>1546107.53</v>
      </c>
      <c r="I32" s="38">
        <f>I34+I39+I46+I49+I50</f>
        <v>172780.35</v>
      </c>
    </row>
    <row r="33" spans="1:9" ht="16.5" thickBot="1">
      <c r="A33" s="165"/>
      <c r="B33" s="169" t="s">
        <v>35</v>
      </c>
      <c r="C33" s="169"/>
      <c r="D33" s="169"/>
      <c r="E33" s="169"/>
      <c r="F33" s="93"/>
      <c r="G33" s="95"/>
      <c r="H33" s="169"/>
      <c r="I33" s="169"/>
    </row>
    <row r="34" spans="1:9" ht="32.25" thickBot="1">
      <c r="A34" s="165" t="s">
        <v>36</v>
      </c>
      <c r="B34" s="169" t="s">
        <v>37</v>
      </c>
      <c r="C34" s="13">
        <v>210</v>
      </c>
      <c r="D34" s="13">
        <f>D36+D37+D38</f>
        <v>0</v>
      </c>
      <c r="E34" s="13">
        <f t="shared" ref="E34:F34" si="1">E36+E37+E38</f>
        <v>0</v>
      </c>
      <c r="F34" s="99">
        <f t="shared" si="1"/>
        <v>0</v>
      </c>
      <c r="G34" s="100">
        <f t="shared" ref="G34" si="2">H34+I34</f>
        <v>31299.879999999997</v>
      </c>
      <c r="H34" s="13">
        <f>H36+H37+H38</f>
        <v>31299.879999999997</v>
      </c>
      <c r="I34" s="13">
        <f>I36+I37+I38</f>
        <v>0</v>
      </c>
    </row>
    <row r="35" spans="1:9" ht="16.5" thickBot="1">
      <c r="A35" s="165"/>
      <c r="B35" s="169" t="s">
        <v>38</v>
      </c>
      <c r="C35" s="169"/>
      <c r="D35" s="169"/>
      <c r="E35" s="169"/>
      <c r="F35" s="93"/>
      <c r="G35" s="95"/>
      <c r="H35" s="169"/>
      <c r="I35" s="169"/>
    </row>
    <row r="36" spans="1:9" ht="16.5" thickBot="1">
      <c r="A36" s="165" t="s">
        <v>39</v>
      </c>
      <c r="B36" s="169" t="s">
        <v>40</v>
      </c>
      <c r="C36" s="169">
        <v>211</v>
      </c>
      <c r="D36" s="169"/>
      <c r="E36" s="169"/>
      <c r="F36" s="93"/>
      <c r="G36" s="95">
        <f t="shared" ref="G36" si="3">H36+I36</f>
        <v>24188.649999999998</v>
      </c>
      <c r="H36" s="169">
        <f>19039.62+5149.03</f>
        <v>24188.649999999998</v>
      </c>
      <c r="I36" s="169"/>
    </row>
    <row r="37" spans="1:9" ht="16.5" thickBot="1">
      <c r="A37" s="165" t="s">
        <v>41</v>
      </c>
      <c r="B37" s="169" t="s">
        <v>42</v>
      </c>
      <c r="C37" s="169">
        <v>212</v>
      </c>
      <c r="D37" s="169"/>
      <c r="E37" s="169"/>
      <c r="F37" s="93"/>
      <c r="G37" s="95"/>
      <c r="H37" s="169"/>
      <c r="I37" s="169">
        <v>0</v>
      </c>
    </row>
    <row r="38" spans="1:9" ht="16.5" thickBot="1">
      <c r="A38" s="165" t="s">
        <v>43</v>
      </c>
      <c r="B38" s="169" t="s">
        <v>44</v>
      </c>
      <c r="C38" s="169">
        <v>213</v>
      </c>
      <c r="D38" s="169"/>
      <c r="E38" s="169"/>
      <c r="F38" s="93"/>
      <c r="G38" s="95">
        <f t="shared" ref="G38" si="4">H38+I38</f>
        <v>7111.2300000000005</v>
      </c>
      <c r="H38" s="169">
        <f>5556.22+1555.01</f>
        <v>7111.2300000000005</v>
      </c>
      <c r="I38" s="169">
        <v>0</v>
      </c>
    </row>
    <row r="39" spans="1:9" ht="16.5" thickBot="1">
      <c r="A39" s="165" t="s">
        <v>45</v>
      </c>
      <c r="B39" s="169" t="s">
        <v>46</v>
      </c>
      <c r="C39" s="14">
        <v>220</v>
      </c>
      <c r="D39" s="14">
        <f t="shared" ref="D39:I39" si="5">D41+D42+D43+D44+D45</f>
        <v>0</v>
      </c>
      <c r="E39" s="14">
        <f t="shared" si="5"/>
        <v>0</v>
      </c>
      <c r="F39" s="96">
        <f t="shared" si="5"/>
        <v>0</v>
      </c>
      <c r="G39" s="100">
        <f>H39</f>
        <v>25844.67</v>
      </c>
      <c r="H39" s="14">
        <f t="shared" si="5"/>
        <v>25844.67</v>
      </c>
      <c r="I39" s="14">
        <f t="shared" si="5"/>
        <v>0</v>
      </c>
    </row>
    <row r="40" spans="1:9" ht="16.5" thickBot="1">
      <c r="A40" s="165"/>
      <c r="B40" s="169" t="s">
        <v>38</v>
      </c>
      <c r="C40" s="169"/>
      <c r="D40" s="169"/>
      <c r="E40" s="169"/>
      <c r="F40" s="93"/>
      <c r="G40" s="95">
        <f t="shared" ref="G40" si="6">H40+I40</f>
        <v>0</v>
      </c>
      <c r="H40" s="169"/>
      <c r="I40" s="169"/>
    </row>
    <row r="41" spans="1:9" ht="16.5" thickBot="1">
      <c r="A41" s="165" t="s">
        <v>47</v>
      </c>
      <c r="B41" s="169" t="s">
        <v>48</v>
      </c>
      <c r="C41" s="169">
        <v>221</v>
      </c>
      <c r="D41" s="169">
        <v>0</v>
      </c>
      <c r="E41" s="169"/>
      <c r="F41" s="93"/>
      <c r="G41" s="95"/>
      <c r="H41" s="169"/>
      <c r="I41" s="169"/>
    </row>
    <row r="42" spans="1:9" ht="26.25" customHeight="1" thickBot="1">
      <c r="A42" s="165" t="s">
        <v>49</v>
      </c>
      <c r="B42" s="169" t="s">
        <v>50</v>
      </c>
      <c r="C42" s="169">
        <v>222</v>
      </c>
      <c r="D42" s="169">
        <v>0</v>
      </c>
      <c r="E42" s="169"/>
      <c r="F42" s="93"/>
      <c r="G42" s="95">
        <f t="shared" ref="G42" si="7">H42+I42</f>
        <v>0</v>
      </c>
      <c r="H42" s="169"/>
      <c r="I42" s="169"/>
    </row>
    <row r="43" spans="1:9" ht="29.25" customHeight="1" thickBot="1">
      <c r="A43" s="165" t="s">
        <v>51</v>
      </c>
      <c r="B43" s="169" t="s">
        <v>52</v>
      </c>
      <c r="C43" s="169">
        <v>223</v>
      </c>
      <c r="D43" s="169">
        <v>0</v>
      </c>
      <c r="E43" s="169"/>
      <c r="F43" s="93"/>
      <c r="G43" s="95"/>
      <c r="H43" s="169"/>
      <c r="I43" s="169"/>
    </row>
    <row r="44" spans="1:9" ht="16.5" thickBot="1">
      <c r="A44" s="165" t="s">
        <v>53</v>
      </c>
      <c r="B44" s="169" t="s">
        <v>54</v>
      </c>
      <c r="C44" s="169">
        <v>225</v>
      </c>
      <c r="D44" s="169">
        <v>0</v>
      </c>
      <c r="E44" s="169"/>
      <c r="F44" s="93"/>
      <c r="G44" s="95">
        <f t="shared" ref="G44" si="8">H44+I44</f>
        <v>0</v>
      </c>
      <c r="H44" s="169"/>
      <c r="I44" s="169">
        <v>0</v>
      </c>
    </row>
    <row r="45" spans="1:9" ht="30" customHeight="1" thickBot="1">
      <c r="A45" s="165" t="s">
        <v>55</v>
      </c>
      <c r="B45" s="169" t="s">
        <v>56</v>
      </c>
      <c r="C45" s="169">
        <v>226</v>
      </c>
      <c r="D45" s="169">
        <f>E45+F45</f>
        <v>0</v>
      </c>
      <c r="E45" s="169"/>
      <c r="F45" s="93"/>
      <c r="G45" s="95">
        <f>H45</f>
        <v>25844.67</v>
      </c>
      <c r="H45" s="169">
        <v>25844.67</v>
      </c>
      <c r="I45" s="169">
        <v>0</v>
      </c>
    </row>
    <row r="46" spans="1:9" ht="16.5" thickBot="1">
      <c r="A46" s="165" t="s">
        <v>57</v>
      </c>
      <c r="B46" s="169" t="s">
        <v>58</v>
      </c>
      <c r="C46" s="14">
        <v>260</v>
      </c>
      <c r="D46" s="14">
        <f t="shared" ref="D46:I46" si="9">D48</f>
        <v>0</v>
      </c>
      <c r="E46" s="14">
        <f t="shared" si="9"/>
        <v>0</v>
      </c>
      <c r="F46" s="96">
        <f t="shared" si="9"/>
        <v>0</v>
      </c>
      <c r="G46" s="100">
        <f t="shared" ref="G46" si="10">H46+I46</f>
        <v>0</v>
      </c>
      <c r="H46" s="14">
        <f t="shared" si="9"/>
        <v>0</v>
      </c>
      <c r="I46" s="14">
        <f t="shared" si="9"/>
        <v>0</v>
      </c>
    </row>
    <row r="47" spans="1:9" ht="16.5" thickBot="1">
      <c r="A47" s="165"/>
      <c r="B47" s="169" t="s">
        <v>38</v>
      </c>
      <c r="C47" s="169"/>
      <c r="D47" s="169"/>
      <c r="E47" s="169"/>
      <c r="F47" s="93"/>
      <c r="G47" s="95"/>
      <c r="H47" s="169"/>
      <c r="I47" s="169"/>
    </row>
    <row r="48" spans="1:9" ht="16.5" thickBot="1">
      <c r="A48" s="165" t="s">
        <v>59</v>
      </c>
      <c r="B48" s="169" t="s">
        <v>60</v>
      </c>
      <c r="C48" s="169">
        <v>262</v>
      </c>
      <c r="D48" s="169"/>
      <c r="E48" s="169"/>
      <c r="F48" s="93"/>
      <c r="G48" s="95">
        <f t="shared" ref="G48" si="11">H48+I48</f>
        <v>0</v>
      </c>
      <c r="H48" s="169"/>
      <c r="I48" s="169">
        <v>0</v>
      </c>
    </row>
    <row r="49" spans="1:9" ht="38.25" customHeight="1" thickBot="1">
      <c r="A49" s="165" t="s">
        <v>61</v>
      </c>
      <c r="B49" s="169" t="s">
        <v>62</v>
      </c>
      <c r="C49" s="14">
        <v>290</v>
      </c>
      <c r="D49" s="14">
        <f>E49</f>
        <v>0</v>
      </c>
      <c r="E49" s="14"/>
      <c r="F49" s="96">
        <v>0</v>
      </c>
      <c r="G49" s="101">
        <f>H49</f>
        <v>9779</v>
      </c>
      <c r="H49" s="14">
        <f>4909+2288+2582</f>
        <v>9779</v>
      </c>
      <c r="I49" s="14">
        <v>0</v>
      </c>
    </row>
    <row r="50" spans="1:9" ht="33" customHeight="1" thickBot="1">
      <c r="A50" s="165" t="s">
        <v>63</v>
      </c>
      <c r="B50" s="169" t="s">
        <v>64</v>
      </c>
      <c r="C50" s="14">
        <v>300</v>
      </c>
      <c r="D50" s="14">
        <f>E50+F50</f>
        <v>342055.3</v>
      </c>
      <c r="E50" s="14">
        <f t="shared" ref="E50:I50" si="12">E52+E53</f>
        <v>259055.3</v>
      </c>
      <c r="F50" s="96">
        <f t="shared" si="12"/>
        <v>83000</v>
      </c>
      <c r="G50" s="101">
        <f t="shared" ref="G50" si="13">H50+I50</f>
        <v>1651964.33</v>
      </c>
      <c r="H50" s="14">
        <f t="shared" si="12"/>
        <v>1479183.98</v>
      </c>
      <c r="I50" s="14">
        <f t="shared" si="12"/>
        <v>172780.35</v>
      </c>
    </row>
    <row r="51" spans="1:9" ht="16.5" thickBot="1">
      <c r="A51" s="165"/>
      <c r="B51" s="169" t="s">
        <v>38</v>
      </c>
      <c r="C51" s="169"/>
      <c r="D51" s="169"/>
      <c r="E51" s="169"/>
      <c r="F51" s="93"/>
      <c r="G51" s="102"/>
      <c r="H51" s="169"/>
      <c r="I51" s="169"/>
    </row>
    <row r="52" spans="1:9" ht="16.5" thickBot="1">
      <c r="A52" s="165" t="s">
        <v>65</v>
      </c>
      <c r="B52" s="169" t="s">
        <v>66</v>
      </c>
      <c r="C52" s="169">
        <v>310</v>
      </c>
      <c r="D52" s="169"/>
      <c r="E52" s="169"/>
      <c r="F52" s="135"/>
      <c r="G52" s="102">
        <f>H52+I52</f>
        <v>170617.7</v>
      </c>
      <c r="H52" s="169">
        <f>140055+16562.7</f>
        <v>156617.70000000001</v>
      </c>
      <c r="I52" s="169">
        <v>14000</v>
      </c>
    </row>
    <row r="53" spans="1:9" ht="16.5" thickBot="1">
      <c r="A53" s="165" t="s">
        <v>67</v>
      </c>
      <c r="B53" s="169" t="s">
        <v>68</v>
      </c>
      <c r="C53" s="169">
        <v>340</v>
      </c>
      <c r="D53" s="169">
        <f>E53+F53</f>
        <v>342055.3</v>
      </c>
      <c r="E53" s="169">
        <v>259055.3</v>
      </c>
      <c r="F53" s="93">
        <v>83000</v>
      </c>
      <c r="G53" s="102">
        <f>H53+I53</f>
        <v>1481346.6300000001</v>
      </c>
      <c r="H53" s="169">
        <f>932010.98+131500+259055.3</f>
        <v>1322566.28</v>
      </c>
      <c r="I53" s="169">
        <f>75780.35+83000</f>
        <v>158780.35</v>
      </c>
    </row>
    <row r="54" spans="1:9" ht="32.25" thickBot="1">
      <c r="A54" s="15" t="s">
        <v>69</v>
      </c>
      <c r="B54" s="16" t="s">
        <v>70</v>
      </c>
      <c r="C54" s="16" t="s">
        <v>26</v>
      </c>
      <c r="D54" s="120">
        <f>D29+D30-D32</f>
        <v>277755.82</v>
      </c>
      <c r="E54" s="120">
        <f>E29+E30-E32</f>
        <v>138528.97000000003</v>
      </c>
      <c r="F54" s="120">
        <f>F29+F30-F32</f>
        <v>139226.85</v>
      </c>
      <c r="G54" s="120">
        <f>G30-G32+G27</f>
        <v>277755.81999999954</v>
      </c>
      <c r="H54" s="120">
        <f>H30-H32+H27</f>
        <v>138528.96999999968</v>
      </c>
      <c r="I54" s="120">
        <f>I30-I32</f>
        <v>139226.85</v>
      </c>
    </row>
    <row r="55" spans="1:9" ht="18.75">
      <c r="A55" s="23"/>
    </row>
    <row r="56" spans="1:9" ht="60.75" thickBot="1">
      <c r="A56" s="24" t="s">
        <v>71</v>
      </c>
      <c r="B56" s="25"/>
      <c r="C56" s="26" t="s">
        <v>72</v>
      </c>
      <c r="D56" s="25"/>
      <c r="E56" s="120"/>
      <c r="F56" s="25"/>
      <c r="G56" s="26" t="s">
        <v>73</v>
      </c>
      <c r="H56" s="25"/>
      <c r="I56" s="25"/>
    </row>
    <row r="57" spans="1:9">
      <c r="A57" s="27"/>
      <c r="B57" s="27"/>
      <c r="C57" s="28" t="s">
        <v>74</v>
      </c>
      <c r="D57" s="27"/>
      <c r="E57" s="28" t="s">
        <v>75</v>
      </c>
      <c r="F57" s="27"/>
      <c r="G57" s="28" t="s">
        <v>76</v>
      </c>
      <c r="H57" s="29"/>
      <c r="I57" s="29"/>
    </row>
    <row r="58" spans="1:9" ht="24.75" thickBot="1">
      <c r="A58" s="24" t="s">
        <v>77</v>
      </c>
      <c r="B58" s="25"/>
      <c r="C58" s="26"/>
      <c r="D58" s="25"/>
      <c r="E58" s="26" t="s">
        <v>78</v>
      </c>
      <c r="F58" s="25"/>
      <c r="G58" s="25"/>
      <c r="H58" s="25"/>
      <c r="I58" s="25"/>
    </row>
    <row r="59" spans="1:9">
      <c r="A59" s="29"/>
      <c r="B59" s="27"/>
      <c r="C59" s="29" t="s">
        <v>75</v>
      </c>
      <c r="D59" s="27"/>
      <c r="E59" s="29" t="s">
        <v>76</v>
      </c>
      <c r="F59" s="27"/>
      <c r="G59" s="27"/>
      <c r="H59" s="27"/>
      <c r="I59" s="27"/>
    </row>
    <row r="60" spans="1:9" ht="24.75" thickBot="1">
      <c r="A60" s="24" t="s">
        <v>79</v>
      </c>
      <c r="B60" s="25"/>
      <c r="C60" s="30" t="s">
        <v>77</v>
      </c>
      <c r="D60" s="25"/>
      <c r="E60" s="30"/>
      <c r="F60" s="25"/>
      <c r="G60" s="26" t="s">
        <v>78</v>
      </c>
      <c r="H60" s="25"/>
      <c r="I60" s="26" t="s">
        <v>80</v>
      </c>
    </row>
    <row r="61" spans="1:9">
      <c r="A61" s="29"/>
      <c r="B61" s="27"/>
      <c r="C61" s="29" t="s">
        <v>74</v>
      </c>
      <c r="D61" s="27"/>
      <c r="E61" s="29" t="s">
        <v>75</v>
      </c>
      <c r="F61" s="27"/>
      <c r="G61" s="29" t="s">
        <v>76</v>
      </c>
      <c r="H61" s="27"/>
      <c r="I61" s="29" t="s">
        <v>81</v>
      </c>
    </row>
    <row r="62" spans="1:9" ht="18.75">
      <c r="A62" s="7"/>
    </row>
    <row r="63" spans="1:9" ht="18.75">
      <c r="A63" s="7"/>
    </row>
    <row r="64" spans="1:9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6" spans="1:1" ht="18.75">
      <c r="A76" s="7"/>
    </row>
    <row r="77" spans="1:1" ht="18.75">
      <c r="A77" s="7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1"/>
    </row>
    <row r="85" spans="1:1" ht="15.75">
      <c r="A85" s="1"/>
    </row>
    <row r="86" spans="1:1" ht="15.75">
      <c r="A86" s="2" t="s">
        <v>7</v>
      </c>
    </row>
    <row r="87" spans="1:1" ht="15.75">
      <c r="A87" s="1" t="s">
        <v>83</v>
      </c>
    </row>
    <row r="88" spans="1:1" ht="18.75">
      <c r="A88" s="31"/>
    </row>
    <row r="89" spans="1:1" ht="15.75">
      <c r="A89" s="5" t="s">
        <v>84</v>
      </c>
    </row>
    <row r="90" spans="1:1" ht="15.75">
      <c r="A90" s="5" t="s">
        <v>85</v>
      </c>
    </row>
    <row r="91" spans="1:1" ht="15.75">
      <c r="A91" s="5" t="s">
        <v>86</v>
      </c>
    </row>
    <row r="92" spans="1:1" ht="15.75">
      <c r="A92" s="4"/>
    </row>
    <row r="93" spans="1:1" ht="15.75">
      <c r="A93" s="4"/>
    </row>
    <row r="94" spans="1:1" ht="15.75">
      <c r="A94" s="4" t="s">
        <v>9</v>
      </c>
    </row>
    <row r="95" spans="1:1" ht="18.75">
      <c r="A95" s="6"/>
    </row>
    <row r="96" spans="1:1" ht="15.75">
      <c r="A96" s="4" t="s">
        <v>87</v>
      </c>
    </row>
    <row r="97" spans="1:4" ht="15.75">
      <c r="A97" s="4"/>
    </row>
    <row r="98" spans="1:4" ht="18.75">
      <c r="A98" s="7"/>
    </row>
    <row r="99" spans="1:4" ht="16.5" thickBot="1">
      <c r="A99" s="4"/>
    </row>
    <row r="100" spans="1:4" ht="47.25">
      <c r="A100" s="191" t="s">
        <v>88</v>
      </c>
      <c r="B100" s="191" t="s">
        <v>89</v>
      </c>
      <c r="C100" s="32" t="s">
        <v>14</v>
      </c>
      <c r="D100" s="191" t="s">
        <v>92</v>
      </c>
    </row>
    <row r="101" spans="1:4" ht="31.5">
      <c r="A101" s="192"/>
      <c r="B101" s="192"/>
      <c r="C101" s="33" t="s">
        <v>90</v>
      </c>
      <c r="D101" s="192"/>
    </row>
    <row r="102" spans="1:4" ht="47.25">
      <c r="A102" s="192"/>
      <c r="B102" s="192"/>
      <c r="C102" s="33" t="s">
        <v>16</v>
      </c>
      <c r="D102" s="192"/>
    </row>
    <row r="103" spans="1:4" ht="47.25">
      <c r="A103" s="192"/>
      <c r="B103" s="192"/>
      <c r="C103" s="33" t="s">
        <v>17</v>
      </c>
      <c r="D103" s="192"/>
    </row>
    <row r="104" spans="1:4" ht="32.25" thickBot="1">
      <c r="A104" s="193"/>
      <c r="B104" s="193"/>
      <c r="C104" s="34" t="s">
        <v>91</v>
      </c>
      <c r="D104" s="193"/>
    </row>
    <row r="105" spans="1:4" ht="16.5" thickBot="1">
      <c r="A105" s="163">
        <v>1</v>
      </c>
      <c r="B105" s="34">
        <v>2</v>
      </c>
      <c r="C105" s="34">
        <v>3</v>
      </c>
      <c r="D105" s="34">
        <v>4</v>
      </c>
    </row>
    <row r="106" spans="1:4" ht="16.5" thickBot="1">
      <c r="A106" s="163" t="s">
        <v>24</v>
      </c>
      <c r="B106" s="169"/>
      <c r="C106" s="169"/>
      <c r="D106" s="35"/>
    </row>
    <row r="107" spans="1:4" ht="16.5" thickBot="1">
      <c r="A107" s="163" t="s">
        <v>93</v>
      </c>
      <c r="B107" s="169"/>
      <c r="C107" s="169"/>
      <c r="D107" s="35"/>
    </row>
    <row r="108" spans="1:4" ht="16.5" thickBot="1">
      <c r="A108" s="163" t="s">
        <v>94</v>
      </c>
      <c r="B108" s="169"/>
      <c r="C108" s="34"/>
      <c r="D108" s="35"/>
    </row>
    <row r="109" spans="1:4" ht="16.5" thickBot="1">
      <c r="A109" s="163"/>
      <c r="B109" s="169" t="s">
        <v>95</v>
      </c>
      <c r="C109" s="34"/>
      <c r="D109" s="35"/>
    </row>
    <row r="110" spans="1:4" ht="15.75">
      <c r="A110" s="191" t="s">
        <v>96</v>
      </c>
      <c r="B110" s="168" t="s">
        <v>97</v>
      </c>
      <c r="C110" s="191"/>
      <c r="D110" s="194"/>
    </row>
    <row r="111" spans="1:4" ht="16.5" thickBot="1">
      <c r="A111" s="193"/>
      <c r="B111" s="169" t="s">
        <v>98</v>
      </c>
      <c r="C111" s="193"/>
      <c r="D111" s="195"/>
    </row>
    <row r="112" spans="1:4" ht="15.75">
      <c r="A112" s="3"/>
    </row>
    <row r="113" spans="1:9" ht="15.75">
      <c r="A113" s="3"/>
    </row>
    <row r="114" spans="1:9" ht="15.75">
      <c r="A114" s="3"/>
    </row>
    <row r="115" spans="1:9" ht="60.75" thickBot="1">
      <c r="A115" s="37" t="s">
        <v>99</v>
      </c>
      <c r="B115" s="25"/>
      <c r="C115" s="26"/>
      <c r="D115" s="25"/>
      <c r="E115" s="26"/>
      <c r="F115" s="25"/>
      <c r="G115" s="26"/>
      <c r="H115" s="25"/>
      <c r="I115" s="25"/>
    </row>
    <row r="116" spans="1:9">
      <c r="A116" s="27"/>
      <c r="B116" s="27"/>
      <c r="C116" s="28" t="s">
        <v>74</v>
      </c>
      <c r="D116" s="27"/>
      <c r="E116" s="28" t="s">
        <v>75</v>
      </c>
      <c r="F116" s="27"/>
      <c r="G116" s="28" t="s">
        <v>76</v>
      </c>
      <c r="H116" s="29"/>
      <c r="I116" s="29"/>
    </row>
    <row r="117" spans="1:9" ht="24.75" thickBot="1">
      <c r="A117" s="24" t="s">
        <v>77</v>
      </c>
      <c r="B117" s="25"/>
      <c r="C117" s="26"/>
      <c r="D117" s="25"/>
      <c r="E117" s="26"/>
      <c r="F117" s="25"/>
      <c r="G117" s="25"/>
      <c r="H117" s="25"/>
      <c r="I117" s="25"/>
    </row>
    <row r="118" spans="1:9">
      <c r="A118" s="29"/>
      <c r="B118" s="27"/>
      <c r="C118" s="29" t="s">
        <v>75</v>
      </c>
      <c r="D118" s="27"/>
      <c r="E118" s="29" t="s">
        <v>76</v>
      </c>
      <c r="F118" s="27"/>
      <c r="G118" s="27"/>
      <c r="H118" s="27"/>
      <c r="I118" s="27"/>
    </row>
    <row r="119" spans="1:9" ht="24.75" thickBot="1">
      <c r="A119" s="24" t="s">
        <v>79</v>
      </c>
      <c r="B119" s="25"/>
      <c r="C119" s="30"/>
      <c r="D119" s="25"/>
      <c r="E119" s="30"/>
      <c r="F119" s="25"/>
      <c r="G119" s="26"/>
      <c r="H119" s="25"/>
      <c r="I119" s="26"/>
    </row>
    <row r="120" spans="1:9">
      <c r="A120" s="29"/>
      <c r="B120" s="27"/>
      <c r="C120" s="29" t="s">
        <v>74</v>
      </c>
      <c r="D120" s="27"/>
      <c r="E120" s="29" t="s">
        <v>75</v>
      </c>
      <c r="F120" s="27"/>
      <c r="G120" s="29" t="s">
        <v>76</v>
      </c>
      <c r="H120" s="27"/>
      <c r="I120" s="29" t="s">
        <v>81</v>
      </c>
    </row>
    <row r="121" spans="1:9" ht="18.75">
      <c r="A121" s="7"/>
    </row>
    <row r="122" spans="1:9" ht="18.75">
      <c r="A122" s="7"/>
    </row>
    <row r="123" spans="1:9" ht="18.75">
      <c r="A123" s="7"/>
    </row>
    <row r="124" spans="1:9" ht="18.75">
      <c r="A124" s="7"/>
    </row>
    <row r="125" spans="1:9" ht="18.75">
      <c r="A125" s="7"/>
    </row>
  </sheetData>
  <mergeCells count="21">
    <mergeCell ref="A110:A111"/>
    <mergeCell ref="C110:C111"/>
    <mergeCell ref="D110:D111"/>
    <mergeCell ref="G30:G31"/>
    <mergeCell ref="H30:H31"/>
    <mergeCell ref="I30:I31"/>
    <mergeCell ref="A100:A104"/>
    <mergeCell ref="B100:B104"/>
    <mergeCell ref="D100:D104"/>
    <mergeCell ref="A30:A31"/>
    <mergeCell ref="B30:B31"/>
    <mergeCell ref="C30:C31"/>
    <mergeCell ref="D30:D31"/>
    <mergeCell ref="E30:E31"/>
    <mergeCell ref="F30:F31"/>
    <mergeCell ref="D20:D24"/>
    <mergeCell ref="E20:F22"/>
    <mergeCell ref="G20:G24"/>
    <mergeCell ref="H20:I23"/>
    <mergeCell ref="E23:E24"/>
    <mergeCell ref="F23:F2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23"/>
  <sheetViews>
    <sheetView tabSelected="1" topLeftCell="A43" zoomScaleNormal="100" workbookViewId="0">
      <selection activeCell="B12" sqref="B12:E12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3.5703125" customWidth="1"/>
    <col min="7" max="7" width="18.85546875" customWidth="1"/>
    <col min="8" max="8" width="23.7109375" customWidth="1"/>
    <col min="9" max="9" width="26.5703125" customWidth="1"/>
    <col min="10" max="10" width="36.28515625" customWidth="1"/>
  </cols>
  <sheetData>
    <row r="1" spans="1:8" ht="21">
      <c r="G1" s="104" t="s">
        <v>110</v>
      </c>
    </row>
    <row r="2" spans="1:8" ht="15.75">
      <c r="A2" s="42"/>
      <c r="B2" s="43"/>
      <c r="C2" s="43"/>
      <c r="D2" s="43"/>
      <c r="E2" s="43"/>
      <c r="F2" s="43"/>
      <c r="G2" s="42" t="s">
        <v>0</v>
      </c>
      <c r="H2" s="42"/>
    </row>
    <row r="3" spans="1:8" ht="15.75">
      <c r="A3" s="42"/>
      <c r="B3" s="43"/>
      <c r="C3" s="43"/>
      <c r="D3" s="43"/>
      <c r="E3" s="43"/>
      <c r="F3" s="43"/>
      <c r="G3" s="42" t="s">
        <v>1</v>
      </c>
      <c r="H3" s="42"/>
    </row>
    <row r="4" spans="1:8" ht="15.75">
      <c r="A4" s="42"/>
      <c r="B4" s="43"/>
      <c r="C4" s="43"/>
      <c r="D4" s="43"/>
      <c r="E4" s="43"/>
      <c r="F4" s="43"/>
      <c r="G4" s="42" t="s">
        <v>2</v>
      </c>
      <c r="H4" s="42"/>
    </row>
    <row r="5" spans="1:8" ht="15.75">
      <c r="A5" s="42"/>
      <c r="B5" s="43"/>
      <c r="C5" s="43"/>
      <c r="D5" s="43"/>
      <c r="E5" s="43"/>
      <c r="F5" s="43"/>
      <c r="G5" s="42" t="s">
        <v>3</v>
      </c>
      <c r="H5" s="42"/>
    </row>
    <row r="6" spans="1:8" ht="15.75">
      <c r="A6" s="42"/>
      <c r="B6" s="43"/>
      <c r="C6" s="43"/>
      <c r="D6" s="43"/>
      <c r="E6" s="43"/>
      <c r="F6" s="43"/>
      <c r="G6" s="42" t="s">
        <v>4</v>
      </c>
      <c r="H6" s="42"/>
    </row>
    <row r="7" spans="1:8" ht="15.75">
      <c r="A7" s="42"/>
      <c r="B7" s="43"/>
      <c r="C7" s="43"/>
      <c r="D7" s="43"/>
      <c r="E7" s="43"/>
      <c r="F7" s="43"/>
      <c r="G7" s="42" t="s">
        <v>5</v>
      </c>
      <c r="H7" s="42"/>
    </row>
    <row r="8" spans="1:8" ht="15.75">
      <c r="A8" s="42"/>
      <c r="B8" s="43"/>
      <c r="C8" s="43"/>
      <c r="D8" s="43"/>
      <c r="E8" s="43"/>
      <c r="F8" s="43"/>
      <c r="G8" s="42" t="s">
        <v>6</v>
      </c>
      <c r="H8" s="42"/>
    </row>
    <row r="9" spans="1:8" ht="15.75">
      <c r="A9" s="44"/>
      <c r="B9" s="43"/>
      <c r="C9" s="43"/>
      <c r="D9" s="43"/>
      <c r="E9" s="43"/>
      <c r="F9" s="43"/>
      <c r="G9" s="44" t="s">
        <v>7</v>
      </c>
      <c r="H9" s="44"/>
    </row>
    <row r="10" spans="1:8" ht="15.75">
      <c r="A10" s="42"/>
      <c r="B10" s="43"/>
      <c r="C10" s="43"/>
      <c r="D10" s="43"/>
      <c r="E10" s="43"/>
      <c r="F10" s="43"/>
      <c r="G10" s="42" t="s">
        <v>8</v>
      </c>
      <c r="H10" s="42"/>
    </row>
    <row r="11" spans="1:8" ht="15.75">
      <c r="A11" s="45"/>
      <c r="B11" s="43"/>
      <c r="C11" s="43"/>
      <c r="D11" s="43"/>
      <c r="E11" s="43"/>
      <c r="F11" s="43"/>
      <c r="G11" s="43"/>
      <c r="H11" s="43"/>
    </row>
    <row r="12" spans="1:8" ht="18.75">
      <c r="A12" s="47"/>
      <c r="B12" s="49" t="s">
        <v>101</v>
      </c>
      <c r="C12" s="49"/>
      <c r="D12" s="49"/>
      <c r="E12" s="48"/>
      <c r="F12" s="48"/>
      <c r="G12" s="48"/>
      <c r="H12" s="48"/>
    </row>
    <row r="13" spans="1:8" ht="15.75">
      <c r="A13" s="43"/>
      <c r="B13" s="50" t="s">
        <v>100</v>
      </c>
      <c r="C13" s="51"/>
      <c r="D13" s="51"/>
      <c r="E13" s="51"/>
      <c r="F13" s="43"/>
      <c r="G13" s="43"/>
      <c r="H13" s="43"/>
    </row>
    <row r="14" spans="1:8" ht="15.75">
      <c r="A14" s="45"/>
      <c r="B14" s="43"/>
      <c r="C14" s="43"/>
      <c r="D14" s="43"/>
      <c r="E14" s="43"/>
      <c r="F14" s="43"/>
      <c r="G14" s="43"/>
      <c r="H14" s="43"/>
    </row>
    <row r="15" spans="1:8" ht="18.75">
      <c r="A15" s="46"/>
      <c r="B15" s="51" t="s">
        <v>119</v>
      </c>
      <c r="C15" s="43"/>
      <c r="D15" s="43"/>
      <c r="E15" s="43"/>
      <c r="F15" s="43"/>
      <c r="G15" s="43"/>
      <c r="H15" s="43"/>
    </row>
    <row r="16" spans="1:8" ht="18.75">
      <c r="A16" s="6"/>
    </row>
    <row r="17" spans="1:10" ht="15.75">
      <c r="A17" s="4"/>
    </row>
    <row r="18" spans="1:10" ht="15.75">
      <c r="A18" s="4"/>
    </row>
    <row r="19" spans="1:10" ht="19.5" thickBot="1">
      <c r="A19" s="7"/>
    </row>
    <row r="20" spans="1:10" ht="47.25">
      <c r="A20" s="55" t="s">
        <v>10</v>
      </c>
      <c r="B20" s="58" t="s">
        <v>12</v>
      </c>
      <c r="C20" s="58" t="s">
        <v>14</v>
      </c>
      <c r="D20" s="179" t="s">
        <v>19</v>
      </c>
      <c r="E20" s="182" t="s">
        <v>20</v>
      </c>
      <c r="F20" s="183"/>
      <c r="G20" s="179" t="s">
        <v>21</v>
      </c>
      <c r="H20" s="182" t="s">
        <v>20</v>
      </c>
      <c r="I20" s="183"/>
      <c r="J20" s="188"/>
    </row>
    <row r="21" spans="1:10" ht="31.5">
      <c r="A21" s="56" t="s">
        <v>11</v>
      </c>
      <c r="B21" s="59" t="s">
        <v>13</v>
      </c>
      <c r="C21" s="59" t="s">
        <v>15</v>
      </c>
      <c r="D21" s="180"/>
      <c r="E21" s="184"/>
      <c r="F21" s="185"/>
      <c r="G21" s="180"/>
      <c r="H21" s="184"/>
      <c r="I21" s="185"/>
      <c r="J21" s="188"/>
    </row>
    <row r="22" spans="1:10" ht="48" thickBot="1">
      <c r="A22" s="8"/>
      <c r="B22" s="10"/>
      <c r="C22" s="59" t="s">
        <v>16</v>
      </c>
      <c r="D22" s="180"/>
      <c r="E22" s="186"/>
      <c r="F22" s="187"/>
      <c r="G22" s="180"/>
      <c r="H22" s="184"/>
      <c r="I22" s="185"/>
      <c r="J22" s="188"/>
    </row>
    <row r="23" spans="1:10" ht="48" thickBot="1">
      <c r="A23" s="8"/>
      <c r="B23" s="10"/>
      <c r="C23" s="59" t="s">
        <v>17</v>
      </c>
      <c r="D23" s="180"/>
      <c r="E23" s="179" t="s">
        <v>22</v>
      </c>
      <c r="F23" s="179" t="s">
        <v>23</v>
      </c>
      <c r="G23" s="180"/>
      <c r="H23" s="186"/>
      <c r="I23" s="187"/>
      <c r="J23" s="12"/>
    </row>
    <row r="24" spans="1:10" ht="32.25" thickBot="1">
      <c r="A24" s="9"/>
      <c r="B24" s="11"/>
      <c r="C24" s="60" t="s">
        <v>18</v>
      </c>
      <c r="D24" s="181"/>
      <c r="E24" s="181"/>
      <c r="F24" s="181"/>
      <c r="G24" s="181"/>
      <c r="H24" s="60" t="s">
        <v>22</v>
      </c>
      <c r="I24" s="60" t="s">
        <v>23</v>
      </c>
      <c r="J24" s="12"/>
    </row>
    <row r="25" spans="1:10" ht="16.5" thickBot="1">
      <c r="A25" s="57">
        <v>1</v>
      </c>
      <c r="B25" s="60">
        <v>2</v>
      </c>
      <c r="C25" s="60">
        <v>3</v>
      </c>
      <c r="D25" s="60">
        <v>4</v>
      </c>
      <c r="E25" s="60"/>
      <c r="F25" s="60"/>
      <c r="G25" s="60"/>
      <c r="H25" s="60">
        <v>5</v>
      </c>
      <c r="I25" s="60">
        <v>6</v>
      </c>
      <c r="J25" s="12"/>
    </row>
    <row r="26" spans="1:10" ht="29.25" customHeight="1" thickBot="1">
      <c r="A26" s="57" t="s">
        <v>24</v>
      </c>
      <c r="B26" s="60" t="s">
        <v>25</v>
      </c>
      <c r="C26" s="60" t="s">
        <v>26</v>
      </c>
      <c r="D26" s="148">
        <v>46938434</v>
      </c>
      <c r="E26" s="148">
        <v>40672557</v>
      </c>
      <c r="F26" s="148">
        <v>6265877</v>
      </c>
      <c r="G26" s="148">
        <f>H26+I26</f>
        <v>46938434</v>
      </c>
      <c r="H26" s="148">
        <v>40672557</v>
      </c>
      <c r="I26" s="148">
        <v>6265877</v>
      </c>
      <c r="J26" s="12"/>
    </row>
    <row r="27" spans="1:10" ht="38.25" customHeight="1" thickBot="1">
      <c r="A27" s="143" t="s">
        <v>27</v>
      </c>
      <c r="B27" s="144" t="s">
        <v>28</v>
      </c>
      <c r="C27" s="144" t="s">
        <v>29</v>
      </c>
      <c r="D27" s="144"/>
      <c r="E27" s="144"/>
      <c r="F27" s="144"/>
      <c r="G27" s="144">
        <f>H27+I27</f>
        <v>0</v>
      </c>
      <c r="H27" s="144"/>
      <c r="I27" s="144"/>
      <c r="J27" s="12"/>
    </row>
    <row r="28" spans="1:10" ht="27" customHeight="1">
      <c r="A28" s="204" t="s">
        <v>30</v>
      </c>
      <c r="B28" s="204" t="s">
        <v>31</v>
      </c>
      <c r="C28" s="204" t="s">
        <v>32</v>
      </c>
      <c r="D28" s="202">
        <f>E28+F28</f>
        <v>3310220</v>
      </c>
      <c r="E28" s="202">
        <v>2791220</v>
      </c>
      <c r="F28" s="202">
        <v>519000</v>
      </c>
      <c r="G28" s="202">
        <f>H28+I28</f>
        <v>3310220</v>
      </c>
      <c r="H28" s="202">
        <f>E28</f>
        <v>2791220</v>
      </c>
      <c r="I28" s="202">
        <f>F28</f>
        <v>519000</v>
      </c>
      <c r="J28" s="188"/>
    </row>
    <row r="29" spans="1:10" ht="24" customHeight="1" thickBot="1">
      <c r="A29" s="205"/>
      <c r="B29" s="205"/>
      <c r="C29" s="205"/>
      <c r="D29" s="203"/>
      <c r="E29" s="203"/>
      <c r="F29" s="203"/>
      <c r="G29" s="203"/>
      <c r="H29" s="203"/>
      <c r="I29" s="203"/>
      <c r="J29" s="188"/>
    </row>
    <row r="30" spans="1:10" ht="47.25" customHeight="1" thickBot="1">
      <c r="A30" s="145" t="s">
        <v>33</v>
      </c>
      <c r="B30" s="146" t="s">
        <v>34</v>
      </c>
      <c r="C30" s="146">
        <v>900</v>
      </c>
      <c r="D30" s="149">
        <f>E30+F30</f>
        <v>771304.64</v>
      </c>
      <c r="E30" s="149">
        <f t="shared" ref="E30:I30" si="0">E32+E37+E44+E47+E48</f>
        <v>671500</v>
      </c>
      <c r="F30" s="149">
        <f t="shared" si="0"/>
        <v>99804.64</v>
      </c>
      <c r="G30" s="149">
        <f t="shared" si="0"/>
        <v>771304.64</v>
      </c>
      <c r="H30" s="149">
        <f t="shared" si="0"/>
        <v>671500</v>
      </c>
      <c r="I30" s="149">
        <f t="shared" si="0"/>
        <v>99804.64</v>
      </c>
      <c r="J30" s="12"/>
    </row>
    <row r="31" spans="1:10" ht="16.5" thickBot="1">
      <c r="A31" s="143"/>
      <c r="B31" s="144" t="s">
        <v>35</v>
      </c>
      <c r="C31" s="144"/>
      <c r="D31" s="144"/>
      <c r="E31" s="144"/>
      <c r="F31" s="144"/>
      <c r="G31" s="144"/>
      <c r="H31" s="144"/>
      <c r="I31" s="144"/>
      <c r="J31" s="12"/>
    </row>
    <row r="32" spans="1:10" ht="32.25" thickBot="1">
      <c r="A32" s="143" t="s">
        <v>36</v>
      </c>
      <c r="B32" s="144" t="s">
        <v>37</v>
      </c>
      <c r="C32" s="144">
        <v>210</v>
      </c>
      <c r="D32" s="147">
        <f>D34+D35+D36</f>
        <v>704500</v>
      </c>
      <c r="E32" s="147">
        <f>E34+E35+E36</f>
        <v>671500</v>
      </c>
      <c r="F32" s="147">
        <f>F34+F35+F36</f>
        <v>33000</v>
      </c>
      <c r="G32" s="147">
        <f t="shared" ref="G32:I32" si="1">G34+G35+G36</f>
        <v>704500</v>
      </c>
      <c r="H32" s="147">
        <f t="shared" si="1"/>
        <v>671500</v>
      </c>
      <c r="I32" s="147">
        <f t="shared" si="1"/>
        <v>33000</v>
      </c>
      <c r="J32" s="12"/>
    </row>
    <row r="33" spans="1:10" ht="16.5" thickBot="1">
      <c r="A33" s="143"/>
      <c r="B33" s="144" t="s">
        <v>38</v>
      </c>
      <c r="C33" s="144"/>
      <c r="D33" s="144"/>
      <c r="E33" s="144"/>
      <c r="F33" s="144"/>
      <c r="G33" s="144"/>
      <c r="H33" s="144"/>
      <c r="I33" s="144"/>
      <c r="J33" s="12"/>
    </row>
    <row r="34" spans="1:10" ht="16.5" thickBot="1">
      <c r="A34" s="143" t="s">
        <v>39</v>
      </c>
      <c r="B34" s="144" t="s">
        <v>40</v>
      </c>
      <c r="C34" s="144">
        <v>211</v>
      </c>
      <c r="D34" s="144">
        <f>E34+F34</f>
        <v>704500</v>
      </c>
      <c r="E34" s="144">
        <v>671500</v>
      </c>
      <c r="F34" s="144">
        <v>33000</v>
      </c>
      <c r="G34" s="144">
        <f>H34+I34</f>
        <v>704500</v>
      </c>
      <c r="H34" s="144">
        <v>671500</v>
      </c>
      <c r="I34" s="144">
        <v>33000</v>
      </c>
      <c r="J34" s="12"/>
    </row>
    <row r="35" spans="1:10" ht="16.5" thickBot="1">
      <c r="A35" s="143" t="s">
        <v>41</v>
      </c>
      <c r="B35" s="144" t="s">
        <v>42</v>
      </c>
      <c r="C35" s="144">
        <v>212</v>
      </c>
      <c r="D35" s="144">
        <f>E35+F35</f>
        <v>0</v>
      </c>
      <c r="E35" s="144"/>
      <c r="F35" s="144"/>
      <c r="G35" s="144">
        <f>H35+I35</f>
        <v>0</v>
      </c>
      <c r="H35" s="144"/>
      <c r="I35" s="144"/>
      <c r="J35" s="12"/>
    </row>
    <row r="36" spans="1:10" ht="16.5" thickBot="1">
      <c r="A36" s="143" t="s">
        <v>43</v>
      </c>
      <c r="B36" s="144" t="s">
        <v>44</v>
      </c>
      <c r="C36" s="144">
        <v>213</v>
      </c>
      <c r="D36" s="144">
        <f>E36+F36</f>
        <v>0</v>
      </c>
      <c r="E36" s="144"/>
      <c r="F36" s="144"/>
      <c r="G36" s="144">
        <f>H36+I36</f>
        <v>0</v>
      </c>
      <c r="H36" s="144"/>
      <c r="I36" s="144"/>
      <c r="J36" s="12"/>
    </row>
    <row r="37" spans="1:10" ht="16.5" thickBot="1">
      <c r="A37" s="143" t="s">
        <v>45</v>
      </c>
      <c r="B37" s="144" t="s">
        <v>46</v>
      </c>
      <c r="C37" s="147">
        <v>220</v>
      </c>
      <c r="D37" s="147">
        <f>E37+F37</f>
        <v>66804.639999999999</v>
      </c>
      <c r="E37" s="147">
        <f>E38+E39+E40+E41+E42+E43</f>
        <v>0</v>
      </c>
      <c r="F37" s="147">
        <f>F38+F39+F40+F41+F42+F43</f>
        <v>66804.639999999999</v>
      </c>
      <c r="G37" s="147">
        <f>G39+G40+G41+G42+G43</f>
        <v>66804.639999999999</v>
      </c>
      <c r="H37" s="147">
        <f>H39+H40+H41+H42+H43</f>
        <v>0</v>
      </c>
      <c r="I37" s="147">
        <f>I39+I40+I41+I42+I43</f>
        <v>66804.639999999999</v>
      </c>
      <c r="J37" s="12"/>
    </row>
    <row r="38" spans="1:10" ht="16.5" thickBot="1">
      <c r="A38" s="143"/>
      <c r="B38" s="144" t="s">
        <v>38</v>
      </c>
      <c r="C38" s="144"/>
      <c r="D38" s="144"/>
      <c r="E38" s="144"/>
      <c r="F38" s="144"/>
      <c r="G38" s="144"/>
      <c r="H38" s="144"/>
      <c r="I38" s="144"/>
      <c r="J38" s="12"/>
    </row>
    <row r="39" spans="1:10" ht="16.5" thickBot="1">
      <c r="A39" s="143" t="s">
        <v>47</v>
      </c>
      <c r="B39" s="144" t="s">
        <v>48</v>
      </c>
      <c r="C39" s="144">
        <v>221</v>
      </c>
      <c r="D39" s="144">
        <f>E39+F39</f>
        <v>1000</v>
      </c>
      <c r="E39" s="144"/>
      <c r="F39" s="144">
        <v>1000</v>
      </c>
      <c r="G39" s="144">
        <f>H39+I39</f>
        <v>1000</v>
      </c>
      <c r="H39" s="144"/>
      <c r="I39" s="144">
        <v>1000</v>
      </c>
      <c r="J39" s="12"/>
    </row>
    <row r="40" spans="1:10" ht="26.25" customHeight="1" thickBot="1">
      <c r="A40" s="143" t="s">
        <v>49</v>
      </c>
      <c r="B40" s="144" t="s">
        <v>50</v>
      </c>
      <c r="C40" s="144">
        <v>222</v>
      </c>
      <c r="D40" s="144">
        <f t="shared" ref="D40:D43" si="2">E40+F40</f>
        <v>0</v>
      </c>
      <c r="E40" s="144"/>
      <c r="F40" s="144"/>
      <c r="G40" s="144">
        <f>H40+I40</f>
        <v>0</v>
      </c>
      <c r="H40" s="144"/>
      <c r="I40" s="144"/>
      <c r="J40" s="12"/>
    </row>
    <row r="41" spans="1:10" ht="29.25" customHeight="1" thickBot="1">
      <c r="A41" s="143" t="s">
        <v>51</v>
      </c>
      <c r="B41" s="144" t="s">
        <v>52</v>
      </c>
      <c r="C41" s="144">
        <v>223</v>
      </c>
      <c r="D41" s="144">
        <f t="shared" si="2"/>
        <v>47506.71</v>
      </c>
      <c r="E41" s="144"/>
      <c r="F41" s="144">
        <v>47506.71</v>
      </c>
      <c r="G41" s="144">
        <f>H41+I41</f>
        <v>47506.71</v>
      </c>
      <c r="H41" s="144"/>
      <c r="I41" s="144">
        <v>47506.71</v>
      </c>
      <c r="J41" s="12"/>
    </row>
    <row r="42" spans="1:10" ht="16.5" thickBot="1">
      <c r="A42" s="143" t="s">
        <v>53</v>
      </c>
      <c r="B42" s="144" t="s">
        <v>54</v>
      </c>
      <c r="C42" s="144">
        <v>225</v>
      </c>
      <c r="D42" s="144">
        <f t="shared" si="2"/>
        <v>1806.86</v>
      </c>
      <c r="E42" s="144"/>
      <c r="F42" s="144">
        <v>1806.86</v>
      </c>
      <c r="G42" s="144">
        <f>H42+I42</f>
        <v>1806.86</v>
      </c>
      <c r="H42" s="144"/>
      <c r="I42" s="144">
        <v>1806.86</v>
      </c>
      <c r="J42" s="12"/>
    </row>
    <row r="43" spans="1:10" ht="30" customHeight="1" thickBot="1">
      <c r="A43" s="143" t="s">
        <v>55</v>
      </c>
      <c r="B43" s="144" t="s">
        <v>56</v>
      </c>
      <c r="C43" s="144">
        <v>226</v>
      </c>
      <c r="D43" s="144">
        <f t="shared" si="2"/>
        <v>16491.07</v>
      </c>
      <c r="E43" s="144"/>
      <c r="F43" s="144">
        <v>16491.07</v>
      </c>
      <c r="G43" s="144">
        <f>H43+I43</f>
        <v>16491.07</v>
      </c>
      <c r="H43" s="144"/>
      <c r="I43" s="144">
        <v>16491.07</v>
      </c>
      <c r="J43" s="12"/>
    </row>
    <row r="44" spans="1:10" ht="16.5" thickBot="1">
      <c r="A44" s="143" t="s">
        <v>57</v>
      </c>
      <c r="B44" s="144" t="s">
        <v>58</v>
      </c>
      <c r="C44" s="147">
        <v>260</v>
      </c>
      <c r="D44" s="147">
        <f t="shared" ref="D44:G44" si="3">D46</f>
        <v>0</v>
      </c>
      <c r="E44" s="147"/>
      <c r="F44" s="147"/>
      <c r="G44" s="147">
        <f t="shared" si="3"/>
        <v>0</v>
      </c>
      <c r="H44" s="147"/>
      <c r="I44" s="147"/>
      <c r="J44" s="12"/>
    </row>
    <row r="45" spans="1:10" ht="16.5" thickBot="1">
      <c r="A45" s="143"/>
      <c r="B45" s="144" t="s">
        <v>38</v>
      </c>
      <c r="C45" s="144"/>
      <c r="D45" s="144"/>
      <c r="E45" s="144"/>
      <c r="F45" s="144"/>
      <c r="G45" s="144"/>
      <c r="H45" s="144"/>
      <c r="I45" s="144"/>
      <c r="J45" s="12"/>
    </row>
    <row r="46" spans="1:10" ht="16.5" thickBot="1">
      <c r="A46" s="143" t="s">
        <v>59</v>
      </c>
      <c r="B46" s="144" t="s">
        <v>60</v>
      </c>
      <c r="C46" s="144">
        <v>262</v>
      </c>
      <c r="D46" s="144"/>
      <c r="E46" s="144"/>
      <c r="F46" s="144"/>
      <c r="G46" s="144"/>
      <c r="H46" s="144"/>
      <c r="I46" s="144"/>
      <c r="J46" s="12"/>
    </row>
    <row r="47" spans="1:10" ht="38.25" customHeight="1" thickBot="1">
      <c r="A47" s="143" t="s">
        <v>61</v>
      </c>
      <c r="B47" s="144" t="s">
        <v>62</v>
      </c>
      <c r="C47" s="147">
        <v>290</v>
      </c>
      <c r="D47" s="147">
        <v>0</v>
      </c>
      <c r="E47" s="147"/>
      <c r="F47" s="147"/>
      <c r="G47" s="147"/>
      <c r="H47" s="147"/>
      <c r="I47" s="147"/>
      <c r="J47" s="12"/>
    </row>
    <row r="48" spans="1:10" ht="33" customHeight="1" thickBot="1">
      <c r="A48" s="143" t="s">
        <v>63</v>
      </c>
      <c r="B48" s="144" t="s">
        <v>64</v>
      </c>
      <c r="C48" s="147">
        <v>300</v>
      </c>
      <c r="D48" s="147">
        <f>D50+D51</f>
        <v>0</v>
      </c>
      <c r="E48" s="147"/>
      <c r="F48" s="147"/>
      <c r="G48" s="147">
        <f>G50+G51</f>
        <v>0</v>
      </c>
      <c r="H48" s="147"/>
      <c r="I48" s="147"/>
      <c r="J48" s="12"/>
    </row>
    <row r="49" spans="1:10" ht="16.5" thickBot="1">
      <c r="A49" s="143"/>
      <c r="B49" s="144" t="s">
        <v>38</v>
      </c>
      <c r="C49" s="144"/>
      <c r="D49" s="144"/>
      <c r="E49" s="144"/>
      <c r="F49" s="144"/>
      <c r="G49" s="144"/>
      <c r="H49" s="144"/>
      <c r="I49" s="144"/>
      <c r="J49" s="12"/>
    </row>
    <row r="50" spans="1:10" ht="16.5" thickBot="1">
      <c r="A50" s="143" t="s">
        <v>65</v>
      </c>
      <c r="B50" s="144" t="s">
        <v>66</v>
      </c>
      <c r="C50" s="144">
        <v>310</v>
      </c>
      <c r="D50" s="144">
        <f>E50+F50</f>
        <v>0</v>
      </c>
      <c r="E50" s="144"/>
      <c r="F50" s="144"/>
      <c r="G50" s="144"/>
      <c r="H50" s="144"/>
      <c r="I50" s="144"/>
      <c r="J50" s="12"/>
    </row>
    <row r="51" spans="1:10" ht="16.5" thickBot="1">
      <c r="A51" s="143" t="s">
        <v>67</v>
      </c>
      <c r="B51" s="144" t="s">
        <v>68</v>
      </c>
      <c r="C51" s="144">
        <v>340</v>
      </c>
      <c r="D51" s="144">
        <f>E51+F51</f>
        <v>0</v>
      </c>
      <c r="E51" s="144"/>
      <c r="F51" s="144"/>
      <c r="G51" s="144">
        <f>H51+I51</f>
        <v>0</v>
      </c>
      <c r="H51" s="144"/>
      <c r="I51" s="144"/>
      <c r="J51" s="12"/>
    </row>
    <row r="52" spans="1:10" ht="32.25" thickBot="1">
      <c r="A52" s="143" t="s">
        <v>69</v>
      </c>
      <c r="B52" s="144" t="s">
        <v>70</v>
      </c>
      <c r="C52" s="144" t="s">
        <v>26</v>
      </c>
      <c r="D52" s="144">
        <f>G27+D28-D30</f>
        <v>2538915.36</v>
      </c>
      <c r="E52" s="144">
        <f>H27+E28-E30</f>
        <v>2119720</v>
      </c>
      <c r="F52" s="144">
        <f>I27+F28-F30</f>
        <v>419195.36</v>
      </c>
      <c r="G52" s="144">
        <f>G28-G30</f>
        <v>2538915.36</v>
      </c>
      <c r="H52" s="144">
        <f>H28-H30</f>
        <v>2119720</v>
      </c>
      <c r="I52" s="144">
        <f>I28-I30</f>
        <v>419195.36</v>
      </c>
      <c r="J52" s="12"/>
    </row>
    <row r="53" spans="1:10" ht="18.75">
      <c r="A53" s="23"/>
    </row>
    <row r="54" spans="1:10" ht="60.75" thickBot="1">
      <c r="A54" s="24" t="s">
        <v>71</v>
      </c>
      <c r="B54" s="25"/>
      <c r="C54" s="26" t="s">
        <v>72</v>
      </c>
      <c r="D54" s="25"/>
      <c r="E54" s="26"/>
      <c r="F54" s="25"/>
      <c r="G54" s="26" t="s">
        <v>73</v>
      </c>
      <c r="H54" s="25"/>
      <c r="I54" s="25"/>
    </row>
    <row r="55" spans="1:10">
      <c r="A55" s="27"/>
      <c r="B55" s="27"/>
      <c r="C55" s="28" t="s">
        <v>74</v>
      </c>
      <c r="D55" s="27"/>
      <c r="E55" s="28" t="s">
        <v>75</v>
      </c>
      <c r="F55" s="27"/>
      <c r="G55" s="28" t="s">
        <v>76</v>
      </c>
      <c r="H55" s="29"/>
      <c r="I55" s="29"/>
    </row>
    <row r="56" spans="1:10" ht="24.75" thickBot="1">
      <c r="A56" s="24" t="s">
        <v>77</v>
      </c>
      <c r="B56" s="25"/>
      <c r="C56" s="26"/>
      <c r="D56" s="25"/>
      <c r="E56" s="26" t="s">
        <v>78</v>
      </c>
      <c r="F56" s="25"/>
      <c r="G56" s="25"/>
      <c r="H56" s="25"/>
      <c r="I56" s="25"/>
    </row>
    <row r="57" spans="1:10">
      <c r="A57" s="29"/>
      <c r="B57" s="27"/>
      <c r="C57" s="29" t="s">
        <v>75</v>
      </c>
      <c r="D57" s="27"/>
      <c r="E57" s="29" t="s">
        <v>76</v>
      </c>
      <c r="F57" s="27"/>
      <c r="G57" s="27"/>
      <c r="H57" s="27"/>
      <c r="I57" s="27"/>
    </row>
    <row r="58" spans="1:10" ht="24.75" thickBot="1">
      <c r="A58" s="24" t="s">
        <v>79</v>
      </c>
      <c r="B58" s="25"/>
      <c r="C58" s="30" t="s">
        <v>77</v>
      </c>
      <c r="D58" s="25"/>
      <c r="E58" s="30"/>
      <c r="F58" s="25"/>
      <c r="G58" s="26" t="s">
        <v>78</v>
      </c>
      <c r="H58" s="25"/>
      <c r="I58" s="26" t="s">
        <v>80</v>
      </c>
    </row>
    <row r="59" spans="1:10">
      <c r="A59" s="29"/>
      <c r="B59" s="27"/>
      <c r="C59" s="29" t="s">
        <v>74</v>
      </c>
      <c r="D59" s="27"/>
      <c r="E59" s="29" t="s">
        <v>75</v>
      </c>
      <c r="F59" s="27"/>
      <c r="G59" s="29" t="s">
        <v>76</v>
      </c>
      <c r="H59" s="27"/>
      <c r="I59" s="29" t="s">
        <v>81</v>
      </c>
    </row>
    <row r="60" spans="1:10" ht="18.75">
      <c r="A60" s="7"/>
    </row>
    <row r="61" spans="1:10" ht="18.75">
      <c r="A61" s="7"/>
    </row>
    <row r="62" spans="1:10" ht="18.75">
      <c r="A62" s="7"/>
    </row>
    <row r="63" spans="1:10" ht="18.75">
      <c r="A63" s="7"/>
    </row>
    <row r="64" spans="1:10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7" spans="1:1" ht="15.75">
      <c r="A77" s="1"/>
    </row>
    <row r="78" spans="1:1" ht="15.75">
      <c r="A78" s="1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2"/>
    </row>
    <row r="85" spans="1:1" ht="15.75">
      <c r="A85" s="1"/>
    </row>
    <row r="86" spans="1:1" ht="18.75">
      <c r="A86" s="31"/>
    </row>
    <row r="87" spans="1:1" ht="15.75">
      <c r="A87" s="5"/>
    </row>
    <row r="88" spans="1:1" ht="15.75">
      <c r="A88" s="5"/>
    </row>
    <row r="89" spans="1:1" ht="15.75">
      <c r="A89" s="5"/>
    </row>
    <row r="90" spans="1:1" ht="15.75">
      <c r="A90" s="4"/>
    </row>
    <row r="91" spans="1:1" ht="15.75">
      <c r="A91" s="4"/>
    </row>
    <row r="92" spans="1:1" ht="15.75">
      <c r="A92" s="4"/>
    </row>
    <row r="93" spans="1:1" ht="18.75">
      <c r="A93" s="6"/>
    </row>
    <row r="94" spans="1:1" ht="15.75">
      <c r="A94" s="4"/>
    </row>
    <row r="95" spans="1:1" ht="15.75">
      <c r="A95" s="4"/>
    </row>
    <row r="96" spans="1:1" ht="18.75">
      <c r="A96" s="7"/>
    </row>
    <row r="97" spans="1:4" ht="16.5" thickBot="1">
      <c r="A97" s="4"/>
    </row>
    <row r="98" spans="1:4" ht="15.75">
      <c r="A98" s="191"/>
      <c r="B98" s="191"/>
      <c r="C98" s="32"/>
      <c r="D98" s="191"/>
    </row>
    <row r="99" spans="1:4" ht="15.75">
      <c r="A99" s="192"/>
      <c r="B99" s="192"/>
      <c r="C99" s="33"/>
      <c r="D99" s="192"/>
    </row>
    <row r="100" spans="1:4" ht="15.75">
      <c r="A100" s="192"/>
      <c r="B100" s="192"/>
      <c r="C100" s="33"/>
      <c r="D100" s="192"/>
    </row>
    <row r="101" spans="1:4" ht="15.75">
      <c r="A101" s="192"/>
      <c r="B101" s="192"/>
      <c r="C101" s="33"/>
      <c r="D101" s="192"/>
    </row>
    <row r="102" spans="1:4" ht="16.5" thickBot="1">
      <c r="A102" s="193"/>
      <c r="B102" s="193"/>
      <c r="C102" s="34"/>
      <c r="D102" s="193"/>
    </row>
    <row r="103" spans="1:4" ht="16.5" thickBot="1">
      <c r="A103" s="61"/>
      <c r="B103" s="34"/>
      <c r="C103" s="34"/>
      <c r="D103" s="34"/>
    </row>
    <row r="104" spans="1:4" ht="16.5" thickBot="1">
      <c r="A104" s="61"/>
      <c r="B104" s="60"/>
      <c r="C104" s="60"/>
      <c r="D104" s="35"/>
    </row>
    <row r="105" spans="1:4" ht="16.5" thickBot="1">
      <c r="A105" s="61"/>
      <c r="B105" s="60"/>
      <c r="C105" s="60"/>
      <c r="D105" s="35"/>
    </row>
    <row r="106" spans="1:4" ht="16.5" thickBot="1">
      <c r="A106" s="61"/>
      <c r="B106" s="60"/>
      <c r="C106" s="34"/>
      <c r="D106" s="35"/>
    </row>
    <row r="107" spans="1:4" ht="16.5" thickBot="1">
      <c r="A107" s="61"/>
      <c r="B107" s="60"/>
      <c r="C107" s="34"/>
      <c r="D107" s="35"/>
    </row>
    <row r="108" spans="1:4" ht="15.75">
      <c r="A108" s="191"/>
      <c r="B108" s="59"/>
      <c r="C108" s="191"/>
      <c r="D108" s="194"/>
    </row>
    <row r="109" spans="1:4" ht="16.5" thickBot="1">
      <c r="A109" s="193"/>
      <c r="B109" s="60"/>
      <c r="C109" s="193"/>
      <c r="D109" s="195"/>
    </row>
    <row r="110" spans="1:4" ht="15.75">
      <c r="A110" s="3"/>
    </row>
    <row r="111" spans="1:4" ht="15.75">
      <c r="A111" s="3"/>
    </row>
    <row r="112" spans="1:4" ht="15.75">
      <c r="A112" s="3"/>
    </row>
    <row r="113" spans="1:9" ht="15.75" thickBot="1">
      <c r="A113" s="37"/>
      <c r="B113" s="25"/>
      <c r="C113" s="26"/>
      <c r="D113" s="25"/>
      <c r="E113" s="26"/>
      <c r="F113" s="25"/>
      <c r="G113" s="26"/>
      <c r="H113" s="25"/>
      <c r="I113" s="25"/>
    </row>
    <row r="114" spans="1:9">
      <c r="A114" s="27"/>
      <c r="B114" s="27"/>
      <c r="C114" s="28"/>
      <c r="D114" s="27"/>
      <c r="E114" s="28"/>
      <c r="F114" s="27"/>
      <c r="G114" s="28"/>
      <c r="H114" s="29"/>
      <c r="I114" s="29"/>
    </row>
    <row r="115" spans="1:9" ht="15.75" thickBot="1">
      <c r="A115" s="24"/>
      <c r="B115" s="25"/>
      <c r="C115" s="26"/>
      <c r="D115" s="25"/>
      <c r="E115" s="26"/>
      <c r="F115" s="25"/>
      <c r="G115" s="25"/>
      <c r="H115" s="25"/>
      <c r="I115" s="25"/>
    </row>
    <row r="116" spans="1:9">
      <c r="A116" s="29"/>
      <c r="B116" s="27"/>
      <c r="C116" s="29"/>
      <c r="D116" s="27"/>
      <c r="E116" s="29"/>
      <c r="F116" s="27"/>
      <c r="G116" s="27"/>
      <c r="H116" s="27"/>
      <c r="I116" s="27"/>
    </row>
    <row r="117" spans="1:9" ht="15.75" thickBot="1">
      <c r="A117" s="24"/>
      <c r="B117" s="25"/>
      <c r="C117" s="30"/>
      <c r="D117" s="25"/>
      <c r="E117" s="30"/>
      <c r="F117" s="25"/>
      <c r="G117" s="26"/>
      <c r="H117" s="25"/>
      <c r="I117" s="26"/>
    </row>
    <row r="118" spans="1:9">
      <c r="A118" s="29"/>
      <c r="B118" s="27"/>
      <c r="C118" s="29"/>
      <c r="D118" s="27"/>
      <c r="E118" s="29"/>
      <c r="F118" s="27"/>
      <c r="G118" s="29"/>
      <c r="H118" s="27"/>
      <c r="I118" s="29"/>
    </row>
    <row r="119" spans="1:9" ht="18.75">
      <c r="A119" s="7"/>
    </row>
    <row r="120" spans="1:9" ht="18.75">
      <c r="A120" s="7"/>
    </row>
    <row r="121" spans="1:9" ht="18.75">
      <c r="A121" s="7"/>
    </row>
    <row r="122" spans="1:9" ht="18.75">
      <c r="A122" s="7"/>
    </row>
    <row r="123" spans="1:9" ht="18.75">
      <c r="A123" s="7"/>
    </row>
  </sheetData>
  <mergeCells count="23">
    <mergeCell ref="D20:D24"/>
    <mergeCell ref="E20:F22"/>
    <mergeCell ref="G20:G24"/>
    <mergeCell ref="H20:I23"/>
    <mergeCell ref="J20:J22"/>
    <mergeCell ref="E23:E24"/>
    <mergeCell ref="F23:F24"/>
    <mergeCell ref="I28:I29"/>
    <mergeCell ref="J28:J29"/>
    <mergeCell ref="A98:A102"/>
    <mergeCell ref="B98:B102"/>
    <mergeCell ref="D98:D102"/>
    <mergeCell ref="A28:A29"/>
    <mergeCell ref="B28:B29"/>
    <mergeCell ref="C28:C29"/>
    <mergeCell ref="D28:D29"/>
    <mergeCell ref="E28:E29"/>
    <mergeCell ref="F28:F29"/>
    <mergeCell ref="A108:A109"/>
    <mergeCell ref="C108:C109"/>
    <mergeCell ref="D108:D109"/>
    <mergeCell ref="G28:G29"/>
    <mergeCell ref="H28:H29"/>
  </mergeCells>
  <pageMargins left="0.7" right="0.7" top="0.75" bottom="0.75" header="0.3" footer="0.3"/>
  <pageSetup paperSize="9" scale="5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23"/>
  <sheetViews>
    <sheetView topLeftCell="A62" workbookViewId="0">
      <selection activeCell="A77" sqref="A77:A84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3.5703125" customWidth="1"/>
    <col min="7" max="7" width="18.85546875" customWidth="1"/>
    <col min="8" max="8" width="23.7109375" customWidth="1"/>
    <col min="9" max="9" width="26.5703125" customWidth="1"/>
    <col min="10" max="10" width="36.28515625" customWidth="1"/>
  </cols>
  <sheetData>
    <row r="1" spans="1:8" ht="23.25">
      <c r="G1" s="77" t="s">
        <v>108</v>
      </c>
    </row>
    <row r="2" spans="1:8" ht="15.75">
      <c r="A2" s="69"/>
      <c r="B2" s="43"/>
      <c r="C2" s="43"/>
      <c r="D2" s="43"/>
      <c r="E2" s="43"/>
      <c r="F2" s="43"/>
      <c r="G2" s="69" t="s">
        <v>0</v>
      </c>
      <c r="H2" s="69"/>
    </row>
    <row r="3" spans="1:8" ht="15.75">
      <c r="A3" s="69"/>
      <c r="B3" s="43"/>
      <c r="C3" s="43"/>
      <c r="D3" s="43"/>
      <c r="E3" s="43"/>
      <c r="F3" s="43"/>
      <c r="G3" s="69" t="s">
        <v>1</v>
      </c>
      <c r="H3" s="69"/>
    </row>
    <row r="4" spans="1:8" ht="15.75">
      <c r="A4" s="69"/>
      <c r="B4" s="43"/>
      <c r="C4" s="43"/>
      <c r="D4" s="43"/>
      <c r="E4" s="43"/>
      <c r="F4" s="43"/>
      <c r="G4" s="69" t="s">
        <v>2</v>
      </c>
      <c r="H4" s="69"/>
    </row>
    <row r="5" spans="1:8" ht="15.75">
      <c r="A5" s="69"/>
      <c r="B5" s="43"/>
      <c r="C5" s="43"/>
      <c r="D5" s="43"/>
      <c r="E5" s="43"/>
      <c r="F5" s="43"/>
      <c r="G5" s="69" t="s">
        <v>3</v>
      </c>
      <c r="H5" s="69"/>
    </row>
    <row r="6" spans="1:8" ht="15.75">
      <c r="A6" s="69"/>
      <c r="B6" s="43"/>
      <c r="C6" s="43"/>
      <c r="D6" s="43"/>
      <c r="E6" s="43"/>
      <c r="F6" s="43"/>
      <c r="G6" s="69" t="s">
        <v>4</v>
      </c>
      <c r="H6" s="69"/>
    </row>
    <row r="7" spans="1:8" ht="15.75">
      <c r="A7" s="69"/>
      <c r="B7" s="43"/>
      <c r="C7" s="43"/>
      <c r="D7" s="43"/>
      <c r="E7" s="43"/>
      <c r="F7" s="43"/>
      <c r="G7" s="69" t="s">
        <v>5</v>
      </c>
      <c r="H7" s="69"/>
    </row>
    <row r="8" spans="1:8" ht="15.75">
      <c r="A8" s="69"/>
      <c r="B8" s="43"/>
      <c r="C8" s="43"/>
      <c r="D8" s="43"/>
      <c r="E8" s="43"/>
      <c r="F8" s="43"/>
      <c r="G8" s="69" t="s">
        <v>6</v>
      </c>
      <c r="H8" s="69"/>
    </row>
    <row r="9" spans="1:8" ht="15.75">
      <c r="A9" s="44"/>
      <c r="B9" s="43"/>
      <c r="C9" s="43"/>
      <c r="D9" s="43"/>
      <c r="E9" s="43"/>
      <c r="F9" s="43"/>
      <c r="G9" s="44" t="s">
        <v>7</v>
      </c>
      <c r="H9" s="44"/>
    </row>
    <row r="10" spans="1:8" ht="15.75">
      <c r="A10" s="69"/>
      <c r="B10" s="43"/>
      <c r="C10" s="43"/>
      <c r="D10" s="43"/>
      <c r="E10" s="43"/>
      <c r="F10" s="43"/>
      <c r="G10" s="69" t="s">
        <v>8</v>
      </c>
      <c r="H10" s="69"/>
    </row>
    <row r="11" spans="1:8" ht="15.75">
      <c r="A11" s="45"/>
      <c r="B11" s="43"/>
      <c r="C11" s="43"/>
      <c r="D11" s="43"/>
      <c r="E11" s="43"/>
      <c r="F11" s="43"/>
      <c r="G11" s="43"/>
      <c r="H11" s="43"/>
    </row>
    <row r="12" spans="1:8" ht="18.75">
      <c r="A12" s="47"/>
      <c r="B12" s="49" t="s">
        <v>101</v>
      </c>
      <c r="C12" s="49"/>
      <c r="D12" s="49"/>
      <c r="E12" s="48"/>
      <c r="F12" s="48"/>
      <c r="G12" s="48"/>
      <c r="H12" s="48"/>
    </row>
    <row r="13" spans="1:8" ht="15.75">
      <c r="A13" s="43"/>
      <c r="B13" s="50" t="s">
        <v>100</v>
      </c>
      <c r="C13" s="51"/>
      <c r="D13" s="51"/>
      <c r="E13" s="51"/>
      <c r="F13" s="43"/>
      <c r="G13" s="43"/>
      <c r="H13" s="43"/>
    </row>
    <row r="14" spans="1:8" ht="15.75">
      <c r="A14" s="45"/>
      <c r="B14" s="43"/>
      <c r="C14" s="43"/>
      <c r="D14" s="43"/>
      <c r="E14" s="43"/>
      <c r="F14" s="43"/>
      <c r="G14" s="43"/>
      <c r="H14" s="43"/>
    </row>
    <row r="15" spans="1:8" ht="18.75">
      <c r="A15" s="46"/>
      <c r="B15" s="51" t="s">
        <v>107</v>
      </c>
      <c r="C15" s="43"/>
      <c r="D15" s="43"/>
      <c r="E15" s="43"/>
      <c r="F15" s="43"/>
      <c r="G15" s="43"/>
      <c r="H15" s="43"/>
    </row>
    <row r="16" spans="1:8" ht="18.75">
      <c r="A16" s="6"/>
    </row>
    <row r="17" spans="1:10" ht="15.75">
      <c r="A17" s="4"/>
    </row>
    <row r="18" spans="1:10" ht="15.75">
      <c r="A18" s="4"/>
    </row>
    <row r="19" spans="1:10" ht="19.5" thickBot="1">
      <c r="A19" s="7"/>
    </row>
    <row r="20" spans="1:10" ht="47.25">
      <c r="A20" s="62" t="s">
        <v>10</v>
      </c>
      <c r="B20" s="65" t="s">
        <v>12</v>
      </c>
      <c r="C20" s="65" t="s">
        <v>14</v>
      </c>
      <c r="D20" s="179" t="s">
        <v>19</v>
      </c>
      <c r="E20" s="182" t="s">
        <v>20</v>
      </c>
      <c r="F20" s="183"/>
      <c r="G20" s="179" t="s">
        <v>21</v>
      </c>
      <c r="H20" s="182" t="s">
        <v>20</v>
      </c>
      <c r="I20" s="183"/>
      <c r="J20" s="188"/>
    </row>
    <row r="21" spans="1:10" ht="31.5">
      <c r="A21" s="63" t="s">
        <v>11</v>
      </c>
      <c r="B21" s="66" t="s">
        <v>13</v>
      </c>
      <c r="C21" s="66" t="s">
        <v>15</v>
      </c>
      <c r="D21" s="180"/>
      <c r="E21" s="184"/>
      <c r="F21" s="185"/>
      <c r="G21" s="180"/>
      <c r="H21" s="184"/>
      <c r="I21" s="185"/>
      <c r="J21" s="188"/>
    </row>
    <row r="22" spans="1:10" ht="48" thickBot="1">
      <c r="A22" s="8"/>
      <c r="B22" s="10"/>
      <c r="C22" s="66" t="s">
        <v>16</v>
      </c>
      <c r="D22" s="180"/>
      <c r="E22" s="186"/>
      <c r="F22" s="187"/>
      <c r="G22" s="180"/>
      <c r="H22" s="184"/>
      <c r="I22" s="185"/>
      <c r="J22" s="188"/>
    </row>
    <row r="23" spans="1:10" ht="48" thickBot="1">
      <c r="A23" s="8"/>
      <c r="B23" s="10"/>
      <c r="C23" s="66" t="s">
        <v>17</v>
      </c>
      <c r="D23" s="180"/>
      <c r="E23" s="179" t="s">
        <v>22</v>
      </c>
      <c r="F23" s="179" t="s">
        <v>23</v>
      </c>
      <c r="G23" s="180"/>
      <c r="H23" s="186"/>
      <c r="I23" s="187"/>
      <c r="J23" s="12"/>
    </row>
    <row r="24" spans="1:10" ht="32.25" thickBot="1">
      <c r="A24" s="9"/>
      <c r="B24" s="11"/>
      <c r="C24" s="67" t="s">
        <v>18</v>
      </c>
      <c r="D24" s="181"/>
      <c r="E24" s="181"/>
      <c r="F24" s="181"/>
      <c r="G24" s="181"/>
      <c r="H24" s="67" t="s">
        <v>22</v>
      </c>
      <c r="I24" s="67" t="s">
        <v>23</v>
      </c>
      <c r="J24" s="12"/>
    </row>
    <row r="25" spans="1:10" ht="16.5" thickBot="1">
      <c r="A25" s="64">
        <v>1</v>
      </c>
      <c r="B25" s="67">
        <v>2</v>
      </c>
      <c r="C25" s="67">
        <v>3</v>
      </c>
      <c r="D25" s="67">
        <v>4</v>
      </c>
      <c r="E25" s="67"/>
      <c r="F25" s="67"/>
      <c r="G25" s="67"/>
      <c r="H25" s="67">
        <v>5</v>
      </c>
      <c r="I25" s="67">
        <v>6</v>
      </c>
      <c r="J25" s="12"/>
    </row>
    <row r="26" spans="1:10" ht="29.25" customHeight="1" thickBot="1">
      <c r="A26" s="143" t="s">
        <v>24</v>
      </c>
      <c r="B26" s="144" t="s">
        <v>105</v>
      </c>
      <c r="C26" s="144" t="s">
        <v>26</v>
      </c>
      <c r="D26" s="147">
        <f>E26+F26</f>
        <v>46938434</v>
      </c>
      <c r="E26" s="147">
        <v>40672557</v>
      </c>
      <c r="F26" s="147">
        <v>6265877</v>
      </c>
      <c r="G26" s="147">
        <f>H26+I26</f>
        <v>46938434</v>
      </c>
      <c r="H26" s="147">
        <v>40672557</v>
      </c>
      <c r="I26" s="147">
        <v>6265877</v>
      </c>
      <c r="J26" s="12"/>
    </row>
    <row r="27" spans="1:10" ht="38.25" customHeight="1" thickBot="1">
      <c r="A27" s="143" t="s">
        <v>27</v>
      </c>
      <c r="B27" s="144" t="s">
        <v>28</v>
      </c>
      <c r="C27" s="144" t="s">
        <v>29</v>
      </c>
      <c r="D27" s="147">
        <f>E27+F27</f>
        <v>2538915.36</v>
      </c>
      <c r="E27" s="147">
        <v>2119720</v>
      </c>
      <c r="F27" s="147">
        <v>419195.36</v>
      </c>
      <c r="G27" s="147">
        <f>H27+I27</f>
        <v>2538915.36</v>
      </c>
      <c r="H27" s="147">
        <v>2119720</v>
      </c>
      <c r="I27" s="147">
        <v>419195.36</v>
      </c>
      <c r="J27" s="12"/>
    </row>
    <row r="28" spans="1:10" ht="27" customHeight="1">
      <c r="A28" s="204" t="s">
        <v>30</v>
      </c>
      <c r="B28" s="204" t="s">
        <v>31</v>
      </c>
      <c r="C28" s="204" t="s">
        <v>32</v>
      </c>
      <c r="D28" s="202">
        <f>E28+F28</f>
        <v>1225776</v>
      </c>
      <c r="E28" s="202">
        <f>619500+41200+7160+38916</f>
        <v>706776</v>
      </c>
      <c r="F28" s="202">
        <v>519000</v>
      </c>
      <c r="G28" s="202">
        <f>H28+I28</f>
        <v>4535996</v>
      </c>
      <c r="H28" s="202">
        <f>3319500+15000+105700+7160+50636</f>
        <v>3497996</v>
      </c>
      <c r="I28" s="202">
        <f>519000+519000</f>
        <v>1038000</v>
      </c>
      <c r="J28" s="188"/>
    </row>
    <row r="29" spans="1:10" ht="24" customHeight="1" thickBot="1">
      <c r="A29" s="205"/>
      <c r="B29" s="205"/>
      <c r="C29" s="205"/>
      <c r="D29" s="203"/>
      <c r="E29" s="203"/>
      <c r="F29" s="203"/>
      <c r="G29" s="203"/>
      <c r="H29" s="203"/>
      <c r="I29" s="203"/>
      <c r="J29" s="188"/>
    </row>
    <row r="30" spans="1:10" ht="47.25" customHeight="1" thickBot="1">
      <c r="A30" s="145" t="s">
        <v>33</v>
      </c>
      <c r="B30" s="146" t="s">
        <v>34</v>
      </c>
      <c r="C30" s="146">
        <v>900</v>
      </c>
      <c r="D30" s="149">
        <f>E30+F30</f>
        <v>1965649.55</v>
      </c>
      <c r="E30" s="149">
        <f t="shared" ref="E30:I30" si="0">E32+E37+E44+E47+E48</f>
        <v>1825751.35</v>
      </c>
      <c r="F30" s="149">
        <f t="shared" si="0"/>
        <v>139898.20000000001</v>
      </c>
      <c r="G30" s="149">
        <f t="shared" si="0"/>
        <v>2736954.19</v>
      </c>
      <c r="H30" s="149">
        <f t="shared" si="0"/>
        <v>2497251.35</v>
      </c>
      <c r="I30" s="149">
        <f t="shared" si="0"/>
        <v>239702.84</v>
      </c>
      <c r="J30" s="12"/>
    </row>
    <row r="31" spans="1:10" ht="16.5" thickBot="1">
      <c r="A31" s="143"/>
      <c r="B31" s="144" t="s">
        <v>35</v>
      </c>
      <c r="C31" s="144"/>
      <c r="D31" s="144"/>
      <c r="E31" s="144"/>
      <c r="F31" s="144"/>
      <c r="G31" s="144"/>
      <c r="H31" s="144"/>
      <c r="I31" s="144"/>
      <c r="J31" s="12"/>
    </row>
    <row r="32" spans="1:10" ht="32.25" thickBot="1">
      <c r="A32" s="143" t="s">
        <v>36</v>
      </c>
      <c r="B32" s="144" t="s">
        <v>37</v>
      </c>
      <c r="C32" s="144">
        <v>210</v>
      </c>
      <c r="D32" s="147">
        <f>D34+D35+D36</f>
        <v>1874804.1700000002</v>
      </c>
      <c r="E32" s="147">
        <f>E34+E35+E36</f>
        <v>1784031.35</v>
      </c>
      <c r="F32" s="147">
        <f>F34+F35+F36</f>
        <v>90772.82</v>
      </c>
      <c r="G32" s="144">
        <f t="shared" ref="G32:I32" si="1">G34+G35+G36</f>
        <v>2579304.17</v>
      </c>
      <c r="H32" s="144">
        <f t="shared" si="1"/>
        <v>2455531.35</v>
      </c>
      <c r="I32" s="144">
        <f t="shared" si="1"/>
        <v>123772.82</v>
      </c>
      <c r="J32" s="12"/>
    </row>
    <row r="33" spans="1:10" ht="16.5" thickBot="1">
      <c r="A33" s="143"/>
      <c r="B33" s="144" t="s">
        <v>38</v>
      </c>
      <c r="C33" s="144"/>
      <c r="D33" s="144"/>
      <c r="E33" s="144"/>
      <c r="F33" s="144"/>
      <c r="G33" s="144"/>
      <c r="H33" s="144"/>
      <c r="I33" s="144"/>
      <c r="J33" s="12"/>
    </row>
    <row r="34" spans="1:10" ht="16.5" thickBot="1">
      <c r="A34" s="143" t="s">
        <v>39</v>
      </c>
      <c r="B34" s="144" t="s">
        <v>40</v>
      </c>
      <c r="C34" s="144">
        <v>211</v>
      </c>
      <c r="D34" s="144">
        <f>E34+F34</f>
        <v>1869204.1700000002</v>
      </c>
      <c r="E34" s="144">
        <f>1748942.11+35089.24</f>
        <v>1784031.35</v>
      </c>
      <c r="F34" s="144">
        <v>85172.82</v>
      </c>
      <c r="G34" s="144">
        <f>H34+I34</f>
        <v>2573704.17</v>
      </c>
      <c r="H34" s="144">
        <f>671500+E34</f>
        <v>2455531.35</v>
      </c>
      <c r="I34" s="144">
        <f>33000+F34</f>
        <v>118172.82</v>
      </c>
      <c r="J34" s="12"/>
    </row>
    <row r="35" spans="1:10" ht="16.5" thickBot="1">
      <c r="A35" s="143" t="s">
        <v>41</v>
      </c>
      <c r="B35" s="144" t="s">
        <v>42</v>
      </c>
      <c r="C35" s="144">
        <v>212</v>
      </c>
      <c r="D35" s="144">
        <f>E35+F35</f>
        <v>5600</v>
      </c>
      <c r="E35" s="144"/>
      <c r="F35" s="144">
        <v>5600</v>
      </c>
      <c r="G35" s="144">
        <f>H35+I35</f>
        <v>5600</v>
      </c>
      <c r="H35" s="144"/>
      <c r="I35" s="144">
        <f>F35</f>
        <v>5600</v>
      </c>
      <c r="J35" s="12"/>
    </row>
    <row r="36" spans="1:10" ht="16.5" thickBot="1">
      <c r="A36" s="143" t="s">
        <v>43</v>
      </c>
      <c r="B36" s="144" t="s">
        <v>44</v>
      </c>
      <c r="C36" s="144">
        <v>213</v>
      </c>
      <c r="D36" s="144">
        <f>E36+F36</f>
        <v>0</v>
      </c>
      <c r="E36" s="144"/>
      <c r="F36" s="144"/>
      <c r="G36" s="144">
        <f>H36+I36</f>
        <v>0</v>
      </c>
      <c r="H36" s="144"/>
      <c r="I36" s="144"/>
      <c r="J36" s="12"/>
    </row>
    <row r="37" spans="1:10" ht="16.5" thickBot="1">
      <c r="A37" s="143" t="s">
        <v>45</v>
      </c>
      <c r="B37" s="144" t="s">
        <v>46</v>
      </c>
      <c r="C37" s="147">
        <v>220</v>
      </c>
      <c r="D37" s="147">
        <f>E37+F37</f>
        <v>49515.380000000005</v>
      </c>
      <c r="E37" s="147">
        <f>E38+E39+E40+E41+E42+E43</f>
        <v>0</v>
      </c>
      <c r="F37" s="147">
        <f>F38+F39+F40+F41+F42+F43</f>
        <v>49515.380000000005</v>
      </c>
      <c r="G37" s="147">
        <f>G39+G40+G41+G42+G43</f>
        <v>116320.01999999999</v>
      </c>
      <c r="H37" s="147">
        <f>H39+H40+H41+H42+H43</f>
        <v>0</v>
      </c>
      <c r="I37" s="147">
        <f>I39+I40+I41+I42+I43</f>
        <v>116320.01999999999</v>
      </c>
      <c r="J37" s="12"/>
    </row>
    <row r="38" spans="1:10" ht="16.5" thickBot="1">
      <c r="A38" s="143"/>
      <c r="B38" s="144" t="s">
        <v>38</v>
      </c>
      <c r="C38" s="144"/>
      <c r="D38" s="144"/>
      <c r="E38" s="144"/>
      <c r="F38" s="144"/>
      <c r="G38" s="144"/>
      <c r="H38" s="144"/>
      <c r="I38" s="144"/>
      <c r="J38" s="12"/>
    </row>
    <row r="39" spans="1:10" ht="16.5" thickBot="1">
      <c r="A39" s="143" t="s">
        <v>47</v>
      </c>
      <c r="B39" s="144" t="s">
        <v>48</v>
      </c>
      <c r="C39" s="144">
        <v>221</v>
      </c>
      <c r="D39" s="144">
        <f>E39+F39</f>
        <v>0</v>
      </c>
      <c r="E39" s="144"/>
      <c r="F39" s="144"/>
      <c r="G39" s="144">
        <f>H39+I39</f>
        <v>1000</v>
      </c>
      <c r="H39" s="144"/>
      <c r="I39" s="144">
        <v>1000</v>
      </c>
      <c r="J39" s="12"/>
    </row>
    <row r="40" spans="1:10" ht="26.25" customHeight="1" thickBot="1">
      <c r="A40" s="143" t="s">
        <v>49</v>
      </c>
      <c r="B40" s="144" t="s">
        <v>50</v>
      </c>
      <c r="C40" s="144">
        <v>222</v>
      </c>
      <c r="D40" s="144">
        <f t="shared" ref="D40:D43" si="2">E40+F40</f>
        <v>0</v>
      </c>
      <c r="E40" s="144"/>
      <c r="F40" s="144"/>
      <c r="G40" s="144">
        <f>H40+I40</f>
        <v>0</v>
      </c>
      <c r="H40" s="144"/>
      <c r="I40" s="144"/>
      <c r="J40" s="12"/>
    </row>
    <row r="41" spans="1:10" ht="29.25" customHeight="1" thickBot="1">
      <c r="A41" s="143" t="s">
        <v>51</v>
      </c>
      <c r="B41" s="144" t="s">
        <v>52</v>
      </c>
      <c r="C41" s="144">
        <v>223</v>
      </c>
      <c r="D41" s="144">
        <f t="shared" si="2"/>
        <v>0</v>
      </c>
      <c r="E41" s="144"/>
      <c r="F41" s="144"/>
      <c r="G41" s="144">
        <f>H41+I41</f>
        <v>47506.71</v>
      </c>
      <c r="H41" s="144"/>
      <c r="I41" s="144">
        <v>47506.71</v>
      </c>
      <c r="J41" s="12"/>
    </row>
    <row r="42" spans="1:10" ht="16.5" thickBot="1">
      <c r="A42" s="143" t="s">
        <v>53</v>
      </c>
      <c r="B42" s="144" t="s">
        <v>54</v>
      </c>
      <c r="C42" s="144">
        <v>225</v>
      </c>
      <c r="D42" s="144">
        <f t="shared" si="2"/>
        <v>29577.63</v>
      </c>
      <c r="E42" s="144"/>
      <c r="F42" s="144">
        <v>29577.63</v>
      </c>
      <c r="G42" s="144">
        <f>H42+I42</f>
        <v>31384.49</v>
      </c>
      <c r="H42" s="144"/>
      <c r="I42" s="144">
        <f>1806.86+F42</f>
        <v>31384.49</v>
      </c>
      <c r="J42" s="12"/>
    </row>
    <row r="43" spans="1:10" ht="30" customHeight="1" thickBot="1">
      <c r="A43" s="143" t="s">
        <v>55</v>
      </c>
      <c r="B43" s="144" t="s">
        <v>56</v>
      </c>
      <c r="C43" s="144">
        <v>226</v>
      </c>
      <c r="D43" s="144">
        <f t="shared" si="2"/>
        <v>19937.75</v>
      </c>
      <c r="E43" s="144"/>
      <c r="F43" s="144">
        <v>19937.75</v>
      </c>
      <c r="G43" s="144">
        <f>H43+I43</f>
        <v>36428.82</v>
      </c>
      <c r="H43" s="144"/>
      <c r="I43" s="144">
        <f>16491.07+F43</f>
        <v>36428.82</v>
      </c>
      <c r="J43" s="12"/>
    </row>
    <row r="44" spans="1:10" ht="16.5" thickBot="1">
      <c r="A44" s="143" t="s">
        <v>57</v>
      </c>
      <c r="B44" s="144" t="s">
        <v>58</v>
      </c>
      <c r="C44" s="147">
        <v>260</v>
      </c>
      <c r="D44" s="147">
        <f t="shared" ref="D44:G44" si="3">D46</f>
        <v>0</v>
      </c>
      <c r="E44" s="147"/>
      <c r="F44" s="147"/>
      <c r="G44" s="147">
        <f t="shared" si="3"/>
        <v>0</v>
      </c>
      <c r="H44" s="147"/>
      <c r="I44" s="147"/>
      <c r="J44" s="12"/>
    </row>
    <row r="45" spans="1:10" ht="16.5" thickBot="1">
      <c r="A45" s="143"/>
      <c r="B45" s="144" t="s">
        <v>38</v>
      </c>
      <c r="C45" s="144"/>
      <c r="D45" s="144"/>
      <c r="E45" s="144"/>
      <c r="F45" s="144"/>
      <c r="G45" s="144"/>
      <c r="H45" s="144"/>
      <c r="I45" s="144"/>
      <c r="J45" s="12"/>
    </row>
    <row r="46" spans="1:10" ht="16.5" thickBot="1">
      <c r="A46" s="143" t="s">
        <v>59</v>
      </c>
      <c r="B46" s="144" t="s">
        <v>60</v>
      </c>
      <c r="C46" s="144">
        <v>262</v>
      </c>
      <c r="D46" s="144"/>
      <c r="E46" s="144"/>
      <c r="F46" s="144"/>
      <c r="G46" s="144"/>
      <c r="H46" s="144"/>
      <c r="I46" s="144"/>
      <c r="J46" s="12"/>
    </row>
    <row r="47" spans="1:10" ht="38.25" customHeight="1" thickBot="1">
      <c r="A47" s="143" t="s">
        <v>61</v>
      </c>
      <c r="B47" s="144" t="s">
        <v>62</v>
      </c>
      <c r="C47" s="147">
        <v>290</v>
      </c>
      <c r="D47" s="147">
        <v>0</v>
      </c>
      <c r="E47" s="147"/>
      <c r="F47" s="147"/>
      <c r="G47" s="147"/>
      <c r="H47" s="147"/>
      <c r="I47" s="147"/>
      <c r="J47" s="12"/>
    </row>
    <row r="48" spans="1:10" ht="33" customHeight="1" thickBot="1">
      <c r="A48" s="143" t="s">
        <v>63</v>
      </c>
      <c r="B48" s="144" t="s">
        <v>64</v>
      </c>
      <c r="C48" s="147">
        <v>300</v>
      </c>
      <c r="D48" s="147">
        <f t="shared" ref="D48:I48" si="4">D50+D51</f>
        <v>41330</v>
      </c>
      <c r="E48" s="147">
        <f t="shared" si="4"/>
        <v>41720</v>
      </c>
      <c r="F48" s="147">
        <f t="shared" si="4"/>
        <v>-390</v>
      </c>
      <c r="G48" s="147">
        <f t="shared" si="4"/>
        <v>41330</v>
      </c>
      <c r="H48" s="147">
        <f t="shared" si="4"/>
        <v>41720</v>
      </c>
      <c r="I48" s="147">
        <f t="shared" si="4"/>
        <v>-390</v>
      </c>
      <c r="J48" s="12"/>
    </row>
    <row r="49" spans="1:10" ht="16.5" thickBot="1">
      <c r="A49" s="143"/>
      <c r="B49" s="144" t="s">
        <v>38</v>
      </c>
      <c r="C49" s="144"/>
      <c r="D49" s="144"/>
      <c r="E49" s="144"/>
      <c r="F49" s="144"/>
      <c r="G49" s="144"/>
      <c r="H49" s="144"/>
      <c r="I49" s="144"/>
      <c r="J49" s="12"/>
    </row>
    <row r="50" spans="1:10" ht="16.5" thickBot="1">
      <c r="A50" s="143" t="s">
        <v>65</v>
      </c>
      <c r="B50" s="144" t="s">
        <v>66</v>
      </c>
      <c r="C50" s="144">
        <v>310</v>
      </c>
      <c r="D50" s="144">
        <f>E50+F50</f>
        <v>-390</v>
      </c>
      <c r="E50" s="144"/>
      <c r="F50" s="144">
        <v>-390</v>
      </c>
      <c r="G50" s="144">
        <f>H50+I50</f>
        <v>-390</v>
      </c>
      <c r="H50" s="144"/>
      <c r="I50" s="144">
        <f>F50</f>
        <v>-390</v>
      </c>
      <c r="J50" s="12"/>
    </row>
    <row r="51" spans="1:10" ht="16.5" thickBot="1">
      <c r="A51" s="143" t="s">
        <v>67</v>
      </c>
      <c r="B51" s="144" t="s">
        <v>68</v>
      </c>
      <c r="C51" s="144">
        <v>340</v>
      </c>
      <c r="D51" s="144">
        <f>E51+F51</f>
        <v>41720</v>
      </c>
      <c r="E51" s="144">
        <v>41720</v>
      </c>
      <c r="F51" s="144"/>
      <c r="G51" s="144">
        <f>H51+I51</f>
        <v>41720</v>
      </c>
      <c r="H51" s="144">
        <v>41720</v>
      </c>
      <c r="I51" s="144">
        <f>F51</f>
        <v>0</v>
      </c>
      <c r="J51" s="12"/>
    </row>
    <row r="52" spans="1:10" ht="32.25" thickBot="1">
      <c r="A52" s="143" t="s">
        <v>69</v>
      </c>
      <c r="B52" s="144" t="s">
        <v>70</v>
      </c>
      <c r="C52" s="144" t="s">
        <v>26</v>
      </c>
      <c r="D52" s="144">
        <f>G27+D28-D30</f>
        <v>1799041.8099999998</v>
      </c>
      <c r="E52" s="144">
        <f>H27+E28-E30</f>
        <v>1000744.6499999999</v>
      </c>
      <c r="F52" s="144">
        <f>I27+F28-F30</f>
        <v>798297.15999999992</v>
      </c>
      <c r="G52" s="144">
        <f>G28-G30</f>
        <v>1799041.81</v>
      </c>
      <c r="H52" s="144">
        <f>H28-H30</f>
        <v>1000744.6499999999</v>
      </c>
      <c r="I52" s="144">
        <f>I28-I30</f>
        <v>798297.16</v>
      </c>
      <c r="J52" s="12"/>
    </row>
    <row r="53" spans="1:10" ht="18.75">
      <c r="A53" s="23"/>
    </row>
    <row r="54" spans="1:10" ht="60.75" thickBot="1">
      <c r="A54" s="24" t="s">
        <v>71</v>
      </c>
      <c r="B54" s="25"/>
      <c r="C54" s="26" t="s">
        <v>72</v>
      </c>
      <c r="D54" s="25"/>
      <c r="E54" s="26"/>
      <c r="F54" s="25"/>
      <c r="G54" s="26" t="s">
        <v>73</v>
      </c>
      <c r="H54" s="25"/>
      <c r="I54" s="25"/>
    </row>
    <row r="55" spans="1:10">
      <c r="A55" s="27"/>
      <c r="B55" s="27"/>
      <c r="C55" s="28" t="s">
        <v>74</v>
      </c>
      <c r="D55" s="27"/>
      <c r="E55" s="28" t="s">
        <v>75</v>
      </c>
      <c r="F55" s="27"/>
      <c r="G55" s="28" t="s">
        <v>76</v>
      </c>
      <c r="H55" s="29"/>
      <c r="I55" s="29"/>
    </row>
    <row r="56" spans="1:10" ht="24.75" thickBot="1">
      <c r="A56" s="24" t="s">
        <v>77</v>
      </c>
      <c r="B56" s="25"/>
      <c r="C56" s="26"/>
      <c r="D56" s="25"/>
      <c r="E56" s="26" t="s">
        <v>78</v>
      </c>
      <c r="F56" s="25"/>
      <c r="G56" s="25"/>
      <c r="H56" s="25"/>
      <c r="I56" s="25"/>
    </row>
    <row r="57" spans="1:10">
      <c r="A57" s="29"/>
      <c r="B57" s="27"/>
      <c r="C57" s="29" t="s">
        <v>75</v>
      </c>
      <c r="D57" s="27"/>
      <c r="E57" s="29" t="s">
        <v>76</v>
      </c>
      <c r="F57" s="27"/>
      <c r="G57" s="27"/>
      <c r="H57" s="27"/>
      <c r="I57" s="27"/>
    </row>
    <row r="58" spans="1:10" ht="24.75" thickBot="1">
      <c r="A58" s="24" t="s">
        <v>79</v>
      </c>
      <c r="B58" s="25"/>
      <c r="C58" s="30" t="s">
        <v>77</v>
      </c>
      <c r="D58" s="25"/>
      <c r="E58" s="30"/>
      <c r="F58" s="25"/>
      <c r="G58" s="26" t="s">
        <v>78</v>
      </c>
      <c r="H58" s="25"/>
      <c r="I58" s="26" t="s">
        <v>80</v>
      </c>
    </row>
    <row r="59" spans="1:10">
      <c r="A59" s="29"/>
      <c r="B59" s="27"/>
      <c r="C59" s="29" t="s">
        <v>74</v>
      </c>
      <c r="D59" s="27"/>
      <c r="E59" s="29" t="s">
        <v>75</v>
      </c>
      <c r="F59" s="27"/>
      <c r="G59" s="29" t="s">
        <v>76</v>
      </c>
      <c r="H59" s="27"/>
      <c r="I59" s="29" t="s">
        <v>81</v>
      </c>
    </row>
    <row r="60" spans="1:10" ht="18.75">
      <c r="A60" s="7"/>
    </row>
    <row r="61" spans="1:10" ht="18.75">
      <c r="A61" s="7"/>
    </row>
    <row r="62" spans="1:10" ht="18.75">
      <c r="A62" s="7"/>
    </row>
    <row r="63" spans="1:10" ht="18.75">
      <c r="A63" s="7"/>
    </row>
    <row r="64" spans="1:10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7" spans="1:1" ht="15.75">
      <c r="A77" s="1"/>
    </row>
    <row r="78" spans="1:1" ht="15.75">
      <c r="A78" s="1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2"/>
    </row>
    <row r="85" spans="1:1" ht="15.75">
      <c r="A85" s="1" t="s">
        <v>83</v>
      </c>
    </row>
    <row r="86" spans="1:1" ht="18.75">
      <c r="A86" s="31"/>
    </row>
    <row r="87" spans="1:1" ht="15.75">
      <c r="A87" s="5" t="s">
        <v>84</v>
      </c>
    </row>
    <row r="88" spans="1:1" ht="15.75">
      <c r="A88" s="5" t="s">
        <v>85</v>
      </c>
    </row>
    <row r="89" spans="1:1" ht="15.75">
      <c r="A89" s="5" t="s">
        <v>86</v>
      </c>
    </row>
    <row r="90" spans="1:1" ht="15.75">
      <c r="A90" s="4"/>
    </row>
    <row r="91" spans="1:1" ht="15.75">
      <c r="A91" s="4"/>
    </row>
    <row r="92" spans="1:1" ht="15.75">
      <c r="A92" s="4" t="s">
        <v>9</v>
      </c>
    </row>
    <row r="93" spans="1:1" ht="18.75">
      <c r="A93" s="6"/>
    </row>
    <row r="94" spans="1:1" ht="15.75">
      <c r="A94" s="4" t="s">
        <v>87</v>
      </c>
    </row>
    <row r="95" spans="1:1" ht="15.75">
      <c r="A95" s="4"/>
    </row>
    <row r="96" spans="1:1" ht="18.75">
      <c r="A96" s="7"/>
    </row>
    <row r="97" spans="1:4" ht="16.5" thickBot="1">
      <c r="A97" s="4"/>
    </row>
    <row r="98" spans="1:4" ht="47.25">
      <c r="A98" s="191" t="s">
        <v>88</v>
      </c>
      <c r="B98" s="191" t="s">
        <v>89</v>
      </c>
      <c r="C98" s="32" t="s">
        <v>14</v>
      </c>
      <c r="D98" s="191" t="s">
        <v>92</v>
      </c>
    </row>
    <row r="99" spans="1:4" ht="31.5">
      <c r="A99" s="192"/>
      <c r="B99" s="192"/>
      <c r="C99" s="33" t="s">
        <v>90</v>
      </c>
      <c r="D99" s="192"/>
    </row>
    <row r="100" spans="1:4" ht="47.25">
      <c r="A100" s="192"/>
      <c r="B100" s="192"/>
      <c r="C100" s="33" t="s">
        <v>16</v>
      </c>
      <c r="D100" s="192"/>
    </row>
    <row r="101" spans="1:4" ht="47.25">
      <c r="A101" s="192"/>
      <c r="B101" s="192"/>
      <c r="C101" s="33" t="s">
        <v>17</v>
      </c>
      <c r="D101" s="192"/>
    </row>
    <row r="102" spans="1:4" ht="32.25" thickBot="1">
      <c r="A102" s="193"/>
      <c r="B102" s="193"/>
      <c r="C102" s="34" t="s">
        <v>91</v>
      </c>
      <c r="D102" s="193"/>
    </row>
    <row r="103" spans="1:4" ht="16.5" thickBot="1">
      <c r="A103" s="68">
        <v>1</v>
      </c>
      <c r="B103" s="34">
        <v>2</v>
      </c>
      <c r="C103" s="34">
        <v>3</v>
      </c>
      <c r="D103" s="34">
        <v>4</v>
      </c>
    </row>
    <row r="104" spans="1:4" ht="16.5" thickBot="1">
      <c r="A104" s="68" t="s">
        <v>24</v>
      </c>
      <c r="B104" s="67"/>
      <c r="C104" s="67"/>
      <c r="D104" s="35"/>
    </row>
    <row r="105" spans="1:4" ht="16.5" thickBot="1">
      <c r="A105" s="68" t="s">
        <v>93</v>
      </c>
      <c r="B105" s="67"/>
      <c r="C105" s="67"/>
      <c r="D105" s="35"/>
    </row>
    <row r="106" spans="1:4" ht="16.5" thickBot="1">
      <c r="A106" s="68" t="s">
        <v>94</v>
      </c>
      <c r="B106" s="67"/>
      <c r="C106" s="34"/>
      <c r="D106" s="35"/>
    </row>
    <row r="107" spans="1:4" ht="16.5" thickBot="1">
      <c r="A107" s="68"/>
      <c r="B107" s="67" t="s">
        <v>95</v>
      </c>
      <c r="C107" s="34"/>
      <c r="D107" s="35"/>
    </row>
    <row r="108" spans="1:4" ht="15.75">
      <c r="A108" s="191" t="s">
        <v>96</v>
      </c>
      <c r="B108" s="66" t="s">
        <v>97</v>
      </c>
      <c r="C108" s="191"/>
      <c r="D108" s="194"/>
    </row>
    <row r="109" spans="1:4" ht="16.5" thickBot="1">
      <c r="A109" s="193"/>
      <c r="B109" s="67" t="s">
        <v>98</v>
      </c>
      <c r="C109" s="193"/>
      <c r="D109" s="195"/>
    </row>
    <row r="110" spans="1:4" ht="15.75">
      <c r="A110" s="3"/>
    </row>
    <row r="111" spans="1:4" ht="15.75">
      <c r="A111" s="3"/>
    </row>
    <row r="112" spans="1:4" ht="15.75">
      <c r="A112" s="3"/>
    </row>
    <row r="113" spans="1:9" ht="60.75" thickBot="1">
      <c r="A113" s="37" t="s">
        <v>99</v>
      </c>
      <c r="B113" s="25"/>
      <c r="C113" s="26"/>
      <c r="D113" s="25"/>
      <c r="E113" s="26"/>
      <c r="F113" s="25"/>
      <c r="G113" s="26"/>
      <c r="H113" s="25"/>
      <c r="I113" s="25"/>
    </row>
    <row r="114" spans="1:9">
      <c r="A114" s="27"/>
      <c r="B114" s="27"/>
      <c r="C114" s="28" t="s">
        <v>74</v>
      </c>
      <c r="D114" s="27"/>
      <c r="E114" s="28" t="s">
        <v>75</v>
      </c>
      <c r="F114" s="27"/>
      <c r="G114" s="28" t="s">
        <v>76</v>
      </c>
      <c r="H114" s="29"/>
      <c r="I114" s="29"/>
    </row>
    <row r="115" spans="1:9" ht="24.75" thickBot="1">
      <c r="A115" s="24" t="s">
        <v>77</v>
      </c>
      <c r="B115" s="25"/>
      <c r="C115" s="26"/>
      <c r="D115" s="25"/>
      <c r="E115" s="26"/>
      <c r="F115" s="25"/>
      <c r="G115" s="25"/>
      <c r="H115" s="25"/>
      <c r="I115" s="25"/>
    </row>
    <row r="116" spans="1:9">
      <c r="A116" s="29"/>
      <c r="B116" s="27"/>
      <c r="C116" s="29" t="s">
        <v>75</v>
      </c>
      <c r="D116" s="27"/>
      <c r="E116" s="29" t="s">
        <v>76</v>
      </c>
      <c r="F116" s="27"/>
      <c r="G116" s="27"/>
      <c r="H116" s="27"/>
      <c r="I116" s="27"/>
    </row>
    <row r="117" spans="1:9" ht="24.75" thickBot="1">
      <c r="A117" s="24" t="s">
        <v>79</v>
      </c>
      <c r="B117" s="25"/>
      <c r="C117" s="30"/>
      <c r="D117" s="25"/>
      <c r="E117" s="30"/>
      <c r="F117" s="25"/>
      <c r="G117" s="26"/>
      <c r="H117" s="25"/>
      <c r="I117" s="26"/>
    </row>
    <row r="118" spans="1:9">
      <c r="A118" s="29"/>
      <c r="B118" s="27"/>
      <c r="C118" s="29" t="s">
        <v>74</v>
      </c>
      <c r="D118" s="27"/>
      <c r="E118" s="29" t="s">
        <v>75</v>
      </c>
      <c r="F118" s="27"/>
      <c r="G118" s="29" t="s">
        <v>76</v>
      </c>
      <c r="H118" s="27"/>
      <c r="I118" s="29" t="s">
        <v>81</v>
      </c>
    </row>
    <row r="119" spans="1:9" ht="18.75">
      <c r="A119" s="7"/>
    </row>
    <row r="120" spans="1:9" ht="18.75">
      <c r="A120" s="7"/>
    </row>
    <row r="121" spans="1:9" ht="18.75">
      <c r="A121" s="7"/>
    </row>
    <row r="122" spans="1:9" ht="18.75">
      <c r="A122" s="7"/>
    </row>
    <row r="123" spans="1:9" ht="18.75">
      <c r="A123" s="7"/>
    </row>
  </sheetData>
  <mergeCells count="23">
    <mergeCell ref="D20:D24"/>
    <mergeCell ref="E20:F22"/>
    <mergeCell ref="G20:G24"/>
    <mergeCell ref="H20:I23"/>
    <mergeCell ref="J20:J22"/>
    <mergeCell ref="E23:E24"/>
    <mergeCell ref="F23:F24"/>
    <mergeCell ref="I28:I29"/>
    <mergeCell ref="J28:J29"/>
    <mergeCell ref="A98:A102"/>
    <mergeCell ref="B98:B102"/>
    <mergeCell ref="D98:D102"/>
    <mergeCell ref="A28:A29"/>
    <mergeCell ref="B28:B29"/>
    <mergeCell ref="C28:C29"/>
    <mergeCell ref="D28:D29"/>
    <mergeCell ref="E28:E29"/>
    <mergeCell ref="F28:F29"/>
    <mergeCell ref="A108:A109"/>
    <mergeCell ref="C108:C109"/>
    <mergeCell ref="D108:D109"/>
    <mergeCell ref="G28:G29"/>
    <mergeCell ref="H28:H29"/>
  </mergeCells>
  <pageMargins left="0.7" right="0.7" top="0.75" bottom="0.75" header="0.3" footer="0.3"/>
  <pageSetup paperSize="9" scale="5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23"/>
  <sheetViews>
    <sheetView topLeftCell="A61" workbookViewId="0">
      <selection activeCell="A77" sqref="A77:A83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3.5703125" customWidth="1"/>
    <col min="7" max="7" width="18.85546875" customWidth="1"/>
    <col min="8" max="8" width="23.7109375" customWidth="1"/>
    <col min="9" max="9" width="26.5703125" customWidth="1"/>
    <col min="10" max="10" width="36.28515625" customWidth="1"/>
  </cols>
  <sheetData>
    <row r="1" spans="1:8" ht="23.25">
      <c r="G1" s="77" t="s">
        <v>109</v>
      </c>
    </row>
    <row r="2" spans="1:8" ht="15.75">
      <c r="A2" s="69"/>
      <c r="B2" s="43"/>
      <c r="C2" s="43"/>
      <c r="D2" s="43"/>
      <c r="E2" s="43"/>
      <c r="F2" s="43"/>
      <c r="G2" s="69" t="s">
        <v>0</v>
      </c>
      <c r="H2" s="69"/>
    </row>
    <row r="3" spans="1:8" ht="15.75">
      <c r="A3" s="69"/>
      <c r="B3" s="43"/>
      <c r="C3" s="43"/>
      <c r="D3" s="43"/>
      <c r="E3" s="43"/>
      <c r="F3" s="43"/>
      <c r="G3" s="69" t="s">
        <v>1</v>
      </c>
      <c r="H3" s="69"/>
    </row>
    <row r="4" spans="1:8" ht="15.75">
      <c r="A4" s="69"/>
      <c r="B4" s="43"/>
      <c r="C4" s="43"/>
      <c r="D4" s="43"/>
      <c r="E4" s="43"/>
      <c r="F4" s="43"/>
      <c r="G4" s="69" t="s">
        <v>2</v>
      </c>
      <c r="H4" s="69"/>
    </row>
    <row r="5" spans="1:8" ht="15.75">
      <c r="A5" s="69"/>
      <c r="B5" s="43"/>
      <c r="C5" s="43"/>
      <c r="D5" s="43"/>
      <c r="E5" s="43"/>
      <c r="F5" s="43"/>
      <c r="G5" s="69" t="s">
        <v>3</v>
      </c>
      <c r="H5" s="69"/>
    </row>
    <row r="6" spans="1:8" ht="15.75">
      <c r="A6" s="69"/>
      <c r="B6" s="43"/>
      <c r="C6" s="43"/>
      <c r="D6" s="43"/>
      <c r="E6" s="43"/>
      <c r="F6" s="43"/>
      <c r="G6" s="69" t="s">
        <v>4</v>
      </c>
      <c r="H6" s="69"/>
    </row>
    <row r="7" spans="1:8" ht="15.75">
      <c r="A7" s="69"/>
      <c r="B7" s="43"/>
      <c r="C7" s="43"/>
      <c r="D7" s="43"/>
      <c r="E7" s="43"/>
      <c r="F7" s="43"/>
      <c r="G7" s="69" t="s">
        <v>5</v>
      </c>
      <c r="H7" s="69"/>
    </row>
    <row r="8" spans="1:8" ht="15.75">
      <c r="A8" s="69"/>
      <c r="B8" s="43"/>
      <c r="C8" s="43"/>
      <c r="D8" s="43"/>
      <c r="E8" s="43"/>
      <c r="F8" s="43"/>
      <c r="G8" s="69" t="s">
        <v>6</v>
      </c>
      <c r="H8" s="69"/>
    </row>
    <row r="9" spans="1:8" ht="15.75">
      <c r="A9" s="44"/>
      <c r="B9" s="43"/>
      <c r="C9" s="43"/>
      <c r="D9" s="43"/>
      <c r="E9" s="43"/>
      <c r="F9" s="43"/>
      <c r="G9" s="44" t="s">
        <v>7</v>
      </c>
      <c r="H9" s="44"/>
    </row>
    <row r="10" spans="1:8" ht="15.75">
      <c r="A10" s="69"/>
      <c r="B10" s="43"/>
      <c r="C10" s="43"/>
      <c r="D10" s="43"/>
      <c r="E10" s="43"/>
      <c r="F10" s="43"/>
      <c r="G10" s="69" t="s">
        <v>8</v>
      </c>
      <c r="H10" s="69"/>
    </row>
    <row r="11" spans="1:8" ht="15.75">
      <c r="A11" s="45"/>
      <c r="B11" s="43"/>
      <c r="C11" s="43"/>
      <c r="D11" s="43"/>
      <c r="E11" s="43"/>
      <c r="F11" s="43"/>
      <c r="G11" s="43"/>
      <c r="H11" s="43"/>
    </row>
    <row r="12" spans="1:8" ht="18.75">
      <c r="A12" s="47"/>
      <c r="B12" s="49" t="s">
        <v>101</v>
      </c>
      <c r="C12" s="49"/>
      <c r="D12" s="49"/>
      <c r="E12" s="48"/>
      <c r="F12" s="48"/>
      <c r="G12" s="48"/>
      <c r="H12" s="48"/>
    </row>
    <row r="13" spans="1:8" ht="15.75">
      <c r="A13" s="43"/>
      <c r="B13" s="50" t="s">
        <v>100</v>
      </c>
      <c r="C13" s="51"/>
      <c r="D13" s="51"/>
      <c r="E13" s="51"/>
      <c r="F13" s="43"/>
      <c r="G13" s="43"/>
      <c r="H13" s="43"/>
    </row>
    <row r="14" spans="1:8" ht="15.75">
      <c r="A14" s="45"/>
      <c r="B14" s="43"/>
      <c r="C14" s="43"/>
      <c r="D14" s="43"/>
      <c r="E14" s="43"/>
      <c r="F14" s="43"/>
      <c r="G14" s="43"/>
      <c r="H14" s="43"/>
    </row>
    <row r="15" spans="1:8" ht="18.75">
      <c r="A15" s="46"/>
      <c r="B15" s="51" t="s">
        <v>120</v>
      </c>
      <c r="C15" s="43"/>
      <c r="D15" s="43"/>
      <c r="E15" s="43"/>
      <c r="F15" s="43"/>
      <c r="G15" s="43"/>
      <c r="H15" s="43"/>
    </row>
    <row r="16" spans="1:8" ht="18.75">
      <c r="A16" s="6"/>
    </row>
    <row r="17" spans="1:10" ht="15.75">
      <c r="A17" s="4"/>
    </row>
    <row r="18" spans="1:10" ht="15.75">
      <c r="A18" s="4"/>
    </row>
    <row r="19" spans="1:10" ht="19.5" thickBot="1">
      <c r="A19" s="7"/>
    </row>
    <row r="20" spans="1:10" ht="47.25">
      <c r="A20" s="71" t="s">
        <v>10</v>
      </c>
      <c r="B20" s="74" t="s">
        <v>12</v>
      </c>
      <c r="C20" s="74" t="s">
        <v>14</v>
      </c>
      <c r="D20" s="179" t="s">
        <v>19</v>
      </c>
      <c r="E20" s="182" t="s">
        <v>20</v>
      </c>
      <c r="F20" s="183"/>
      <c r="G20" s="179" t="s">
        <v>21</v>
      </c>
      <c r="H20" s="182" t="s">
        <v>20</v>
      </c>
      <c r="I20" s="183"/>
      <c r="J20" s="188"/>
    </row>
    <row r="21" spans="1:10" ht="31.5">
      <c r="A21" s="73" t="s">
        <v>11</v>
      </c>
      <c r="B21" s="75" t="s">
        <v>13</v>
      </c>
      <c r="C21" s="75" t="s">
        <v>15</v>
      </c>
      <c r="D21" s="180"/>
      <c r="E21" s="184"/>
      <c r="F21" s="185"/>
      <c r="G21" s="180"/>
      <c r="H21" s="184"/>
      <c r="I21" s="185"/>
      <c r="J21" s="188"/>
    </row>
    <row r="22" spans="1:10" ht="48" thickBot="1">
      <c r="A22" s="8"/>
      <c r="B22" s="10"/>
      <c r="C22" s="75" t="s">
        <v>16</v>
      </c>
      <c r="D22" s="180"/>
      <c r="E22" s="186"/>
      <c r="F22" s="187"/>
      <c r="G22" s="180"/>
      <c r="H22" s="184"/>
      <c r="I22" s="185"/>
      <c r="J22" s="188"/>
    </row>
    <row r="23" spans="1:10" ht="48" thickBot="1">
      <c r="A23" s="8"/>
      <c r="B23" s="10"/>
      <c r="C23" s="75" t="s">
        <v>17</v>
      </c>
      <c r="D23" s="180"/>
      <c r="E23" s="179" t="s">
        <v>22</v>
      </c>
      <c r="F23" s="179" t="s">
        <v>23</v>
      </c>
      <c r="G23" s="180"/>
      <c r="H23" s="186"/>
      <c r="I23" s="187"/>
      <c r="J23" s="12"/>
    </row>
    <row r="24" spans="1:10" ht="32.25" thickBot="1">
      <c r="A24" s="9"/>
      <c r="B24" s="11"/>
      <c r="C24" s="76" t="s">
        <v>18</v>
      </c>
      <c r="D24" s="181"/>
      <c r="E24" s="181"/>
      <c r="F24" s="181"/>
      <c r="G24" s="181"/>
      <c r="H24" s="76" t="s">
        <v>22</v>
      </c>
      <c r="I24" s="76" t="s">
        <v>23</v>
      </c>
      <c r="J24" s="12"/>
    </row>
    <row r="25" spans="1:10" ht="16.5" thickBot="1">
      <c r="A25" s="72">
        <v>1</v>
      </c>
      <c r="B25" s="76">
        <v>2</v>
      </c>
      <c r="C25" s="76">
        <v>3</v>
      </c>
      <c r="D25" s="76">
        <v>4</v>
      </c>
      <c r="E25" s="76"/>
      <c r="F25" s="76"/>
      <c r="G25" s="76"/>
      <c r="H25" s="76">
        <v>5</v>
      </c>
      <c r="I25" s="76">
        <v>6</v>
      </c>
      <c r="J25" s="12"/>
    </row>
    <row r="26" spans="1:10" ht="29.25" customHeight="1" thickBot="1">
      <c r="A26" s="72" t="s">
        <v>24</v>
      </c>
      <c r="B26" s="144" t="s">
        <v>105</v>
      </c>
      <c r="C26" s="144" t="s">
        <v>26</v>
      </c>
      <c r="D26" s="147">
        <f>E26+F26</f>
        <v>3908203</v>
      </c>
      <c r="E26" s="147">
        <v>3389380</v>
      </c>
      <c r="F26" s="147">
        <v>518823</v>
      </c>
      <c r="G26" s="147">
        <f>H26+I26</f>
        <v>46938434</v>
      </c>
      <c r="H26" s="147">
        <v>40672557</v>
      </c>
      <c r="I26" s="147">
        <v>6265877</v>
      </c>
      <c r="J26" s="12"/>
    </row>
    <row r="27" spans="1:10" ht="38.25" customHeight="1" thickBot="1">
      <c r="A27" s="72" t="s">
        <v>27</v>
      </c>
      <c r="B27" s="144" t="s">
        <v>28</v>
      </c>
      <c r="C27" s="144" t="s">
        <v>29</v>
      </c>
      <c r="D27" s="147">
        <f>E27+F27</f>
        <v>1799041.81</v>
      </c>
      <c r="E27" s="147">
        <v>1000744.65</v>
      </c>
      <c r="F27" s="147">
        <v>798297.16</v>
      </c>
      <c r="G27" s="147">
        <f>H27+I27</f>
        <v>1799041.81</v>
      </c>
      <c r="H27" s="147">
        <v>1000744.65</v>
      </c>
      <c r="I27" s="147">
        <v>798297.16</v>
      </c>
      <c r="J27" s="12"/>
    </row>
    <row r="28" spans="1:10" ht="27" customHeight="1">
      <c r="A28" s="179" t="s">
        <v>30</v>
      </c>
      <c r="B28" s="204" t="s">
        <v>31</v>
      </c>
      <c r="C28" s="204" t="s">
        <v>32</v>
      </c>
      <c r="D28" s="202">
        <f>E28+F28</f>
        <v>5707835.2999999989</v>
      </c>
      <c r="E28" s="202">
        <f>4853309.6+48886.14+3308.21+100000+80000+95246.35+8085</f>
        <v>5188835.2999999989</v>
      </c>
      <c r="F28" s="202">
        <v>519000</v>
      </c>
      <c r="G28" s="202">
        <f>H28+I28</f>
        <v>10243831.299999999</v>
      </c>
      <c r="H28" s="202">
        <f>3319500+15000+105700+7160+50636+E28</f>
        <v>8686831.2999999989</v>
      </c>
      <c r="I28" s="202">
        <f>519000+519000+519000</f>
        <v>1557000</v>
      </c>
      <c r="J28" s="188"/>
    </row>
    <row r="29" spans="1:10" ht="24" customHeight="1" thickBot="1">
      <c r="A29" s="181"/>
      <c r="B29" s="205"/>
      <c r="C29" s="205"/>
      <c r="D29" s="203"/>
      <c r="E29" s="203"/>
      <c r="F29" s="203"/>
      <c r="G29" s="203"/>
      <c r="H29" s="203"/>
      <c r="I29" s="203"/>
      <c r="J29" s="188"/>
    </row>
    <row r="30" spans="1:10" ht="47.25" customHeight="1" thickBot="1">
      <c r="A30" s="41" t="s">
        <v>33</v>
      </c>
      <c r="B30" s="146" t="s">
        <v>34</v>
      </c>
      <c r="C30" s="146">
        <v>900</v>
      </c>
      <c r="D30" s="149">
        <f>E30+F30</f>
        <v>5358349.5200000005</v>
      </c>
      <c r="E30" s="149">
        <f t="shared" ref="E30:I30" si="0">E32+E37+E44+E47+E48</f>
        <v>4951325.2100000009</v>
      </c>
      <c r="F30" s="149">
        <f t="shared" si="0"/>
        <v>407024.31</v>
      </c>
      <c r="G30" s="149">
        <f t="shared" si="0"/>
        <v>8095303.7100000009</v>
      </c>
      <c r="H30" s="149">
        <f t="shared" si="0"/>
        <v>7448576.5600000005</v>
      </c>
      <c r="I30" s="149">
        <f t="shared" si="0"/>
        <v>646727.14999999991</v>
      </c>
      <c r="J30" s="12"/>
    </row>
    <row r="31" spans="1:10" ht="16.5" thickBot="1">
      <c r="A31" s="72"/>
      <c r="B31" s="144" t="s">
        <v>35</v>
      </c>
      <c r="C31" s="144"/>
      <c r="D31" s="144"/>
      <c r="E31" s="144"/>
      <c r="F31" s="144"/>
      <c r="G31" s="144"/>
      <c r="H31" s="144"/>
      <c r="I31" s="144"/>
      <c r="J31" s="12"/>
    </row>
    <row r="32" spans="1:10" ht="32.25" thickBot="1">
      <c r="A32" s="72" t="s">
        <v>36</v>
      </c>
      <c r="B32" s="144" t="s">
        <v>37</v>
      </c>
      <c r="C32" s="144">
        <v>210</v>
      </c>
      <c r="D32" s="144">
        <f>D34+D35+D36</f>
        <v>5125935.2200000007</v>
      </c>
      <c r="E32" s="144">
        <f>E34+E35+E36</f>
        <v>4835384.9800000004</v>
      </c>
      <c r="F32" s="144">
        <f>F34+F35+F36</f>
        <v>290550.24</v>
      </c>
      <c r="G32" s="144">
        <f t="shared" ref="G32:I32" si="1">G34+G35+G36</f>
        <v>7705239.3900000006</v>
      </c>
      <c r="H32" s="144">
        <f t="shared" si="1"/>
        <v>7290916.3300000001</v>
      </c>
      <c r="I32" s="144">
        <f t="shared" si="1"/>
        <v>414323.06</v>
      </c>
      <c r="J32" s="12"/>
    </row>
    <row r="33" spans="1:10" ht="16.5" thickBot="1">
      <c r="A33" s="72"/>
      <c r="B33" s="144" t="s">
        <v>38</v>
      </c>
      <c r="C33" s="144"/>
      <c r="D33" s="144"/>
      <c r="E33" s="144"/>
      <c r="F33" s="144"/>
      <c r="G33" s="144"/>
      <c r="H33" s="144"/>
      <c r="I33" s="144"/>
      <c r="J33" s="12"/>
    </row>
    <row r="34" spans="1:10" ht="16.5" thickBot="1">
      <c r="A34" s="72" t="s">
        <v>39</v>
      </c>
      <c r="B34" s="144" t="s">
        <v>40</v>
      </c>
      <c r="C34" s="144">
        <v>211</v>
      </c>
      <c r="D34" s="144">
        <f>E34+F34</f>
        <v>3888278.18</v>
      </c>
      <c r="E34" s="144">
        <f>3605623.96+78725.47+7707.87</f>
        <v>3692057.3000000003</v>
      </c>
      <c r="F34" s="144">
        <v>196220.88</v>
      </c>
      <c r="G34" s="144">
        <f>H34+I34</f>
        <v>6461982.3500000006</v>
      </c>
      <c r="H34" s="144">
        <v>6147588.6500000004</v>
      </c>
      <c r="I34" s="144">
        <f>33000+85172.82+196220.88</f>
        <v>314393.7</v>
      </c>
      <c r="J34" s="12"/>
    </row>
    <row r="35" spans="1:10" ht="16.5" thickBot="1">
      <c r="A35" s="72" t="s">
        <v>41</v>
      </c>
      <c r="B35" s="144" t="s">
        <v>42</v>
      </c>
      <c r="C35" s="144">
        <v>212</v>
      </c>
      <c r="D35" s="144">
        <f>E35+F35</f>
        <v>11200</v>
      </c>
      <c r="E35" s="144"/>
      <c r="F35" s="144">
        <v>11200</v>
      </c>
      <c r="G35" s="144">
        <f>H35+I35</f>
        <v>16800</v>
      </c>
      <c r="H35" s="144"/>
      <c r="I35" s="144">
        <f>5600+11200</f>
        <v>16800</v>
      </c>
      <c r="J35" s="12"/>
    </row>
    <row r="36" spans="1:10" ht="16.5" thickBot="1">
      <c r="A36" s="72" t="s">
        <v>43</v>
      </c>
      <c r="B36" s="144" t="s">
        <v>44</v>
      </c>
      <c r="C36" s="144">
        <v>213</v>
      </c>
      <c r="D36" s="144">
        <f>E36+F36</f>
        <v>1226457.0400000003</v>
      </c>
      <c r="E36" s="144">
        <f>1120062.82+21791.85+1473.01</f>
        <v>1143327.6800000002</v>
      </c>
      <c r="F36" s="144">
        <v>83129.36</v>
      </c>
      <c r="G36" s="144">
        <f>H36+I36</f>
        <v>1226457.0400000003</v>
      </c>
      <c r="H36" s="144">
        <f>E36</f>
        <v>1143327.6800000002</v>
      </c>
      <c r="I36" s="144">
        <f>F36</f>
        <v>83129.36</v>
      </c>
      <c r="J36" s="12"/>
    </row>
    <row r="37" spans="1:10" ht="16.5" thickBot="1">
      <c r="A37" s="72" t="s">
        <v>45</v>
      </c>
      <c r="B37" s="144" t="s">
        <v>46</v>
      </c>
      <c r="C37" s="147">
        <v>220</v>
      </c>
      <c r="D37" s="147">
        <f>E37+F37</f>
        <v>112143.62</v>
      </c>
      <c r="E37" s="147">
        <f>E38+E39+E40+E41+E42+E43</f>
        <v>0</v>
      </c>
      <c r="F37" s="147">
        <f>F38+F39+F40+F41+F42+F43</f>
        <v>112143.62</v>
      </c>
      <c r="G37" s="147">
        <f>G39+G40+G41+G42+G43</f>
        <v>228463.64</v>
      </c>
      <c r="H37" s="147">
        <f>H39+H40+H41+H42+H43</f>
        <v>0</v>
      </c>
      <c r="I37" s="147">
        <f>I39+I40+I41+I42+I43</f>
        <v>228463.64</v>
      </c>
      <c r="J37" s="12"/>
    </row>
    <row r="38" spans="1:10" ht="16.5" thickBot="1">
      <c r="A38" s="72"/>
      <c r="B38" s="144" t="s">
        <v>38</v>
      </c>
      <c r="C38" s="144"/>
      <c r="D38" s="144"/>
      <c r="E38" s="144"/>
      <c r="F38" s="144"/>
      <c r="G38" s="144"/>
      <c r="H38" s="144"/>
      <c r="I38" s="144"/>
      <c r="J38" s="12"/>
    </row>
    <row r="39" spans="1:10" ht="16.5" thickBot="1">
      <c r="A39" s="72" t="s">
        <v>47</v>
      </c>
      <c r="B39" s="144" t="s">
        <v>48</v>
      </c>
      <c r="C39" s="144">
        <v>221</v>
      </c>
      <c r="D39" s="144">
        <f>E39+F39</f>
        <v>1965.06</v>
      </c>
      <c r="E39" s="144"/>
      <c r="F39" s="144">
        <v>1965.06</v>
      </c>
      <c r="G39" s="144">
        <f>H39+I39</f>
        <v>2965.06</v>
      </c>
      <c r="H39" s="144"/>
      <c r="I39" s="144">
        <f>1000+F39</f>
        <v>2965.06</v>
      </c>
      <c r="J39" s="12"/>
    </row>
    <row r="40" spans="1:10" ht="26.25" customHeight="1" thickBot="1">
      <c r="A40" s="72" t="s">
        <v>49</v>
      </c>
      <c r="B40" s="144" t="s">
        <v>50</v>
      </c>
      <c r="C40" s="144">
        <v>222</v>
      </c>
      <c r="D40" s="144">
        <f t="shared" ref="D40:D43" si="2">E40+F40</f>
        <v>0</v>
      </c>
      <c r="E40" s="144"/>
      <c r="F40" s="144"/>
      <c r="G40" s="144">
        <f>H40+I40</f>
        <v>0</v>
      </c>
      <c r="H40" s="144"/>
      <c r="I40" s="144"/>
      <c r="J40" s="12"/>
    </row>
    <row r="41" spans="1:10" ht="29.25" customHeight="1" thickBot="1">
      <c r="A41" s="72" t="s">
        <v>51</v>
      </c>
      <c r="B41" s="144" t="s">
        <v>52</v>
      </c>
      <c r="C41" s="144">
        <v>223</v>
      </c>
      <c r="D41" s="144">
        <f t="shared" si="2"/>
        <v>41427.68</v>
      </c>
      <c r="E41" s="144"/>
      <c r="F41" s="144">
        <v>41427.68</v>
      </c>
      <c r="G41" s="144">
        <f>H41+I41</f>
        <v>88934.39</v>
      </c>
      <c r="H41" s="144"/>
      <c r="I41" s="144">
        <f>47506.71+F41</f>
        <v>88934.39</v>
      </c>
      <c r="J41" s="12"/>
    </row>
    <row r="42" spans="1:10" ht="16.5" thickBot="1">
      <c r="A42" s="72" t="s">
        <v>53</v>
      </c>
      <c r="B42" s="144" t="s">
        <v>54</v>
      </c>
      <c r="C42" s="144">
        <v>225</v>
      </c>
      <c r="D42" s="144">
        <f t="shared" si="2"/>
        <v>44596.01</v>
      </c>
      <c r="E42" s="144"/>
      <c r="F42" s="144">
        <v>44596.01</v>
      </c>
      <c r="G42" s="144">
        <f>H42+I42</f>
        <v>75980.5</v>
      </c>
      <c r="H42" s="144"/>
      <c r="I42" s="144">
        <f>31384.49+F42</f>
        <v>75980.5</v>
      </c>
      <c r="J42" s="12"/>
    </row>
    <row r="43" spans="1:10" ht="30" customHeight="1" thickBot="1">
      <c r="A43" s="72" t="s">
        <v>55</v>
      </c>
      <c r="B43" s="144" t="s">
        <v>56</v>
      </c>
      <c r="C43" s="144">
        <v>226</v>
      </c>
      <c r="D43" s="144">
        <f t="shared" si="2"/>
        <v>24154.87</v>
      </c>
      <c r="E43" s="144"/>
      <c r="F43" s="144">
        <v>24154.87</v>
      </c>
      <c r="G43" s="144">
        <f>H43+I43</f>
        <v>60583.69</v>
      </c>
      <c r="H43" s="144"/>
      <c r="I43" s="144">
        <f>16491.07+19937.75+24154.87</f>
        <v>60583.69</v>
      </c>
      <c r="J43" s="12"/>
    </row>
    <row r="44" spans="1:10" ht="16.5" thickBot="1">
      <c r="A44" s="72" t="s">
        <v>57</v>
      </c>
      <c r="B44" s="144" t="s">
        <v>58</v>
      </c>
      <c r="C44" s="147">
        <v>260</v>
      </c>
      <c r="D44" s="147">
        <f t="shared" ref="D44:G44" si="3">D46</f>
        <v>0</v>
      </c>
      <c r="E44" s="147"/>
      <c r="F44" s="147"/>
      <c r="G44" s="147">
        <f t="shared" si="3"/>
        <v>0</v>
      </c>
      <c r="H44" s="147"/>
      <c r="I44" s="147"/>
      <c r="J44" s="12"/>
    </row>
    <row r="45" spans="1:10" ht="16.5" thickBot="1">
      <c r="A45" s="72"/>
      <c r="B45" s="144" t="s">
        <v>38</v>
      </c>
      <c r="C45" s="144"/>
      <c r="D45" s="144"/>
      <c r="E45" s="144"/>
      <c r="F45" s="144"/>
      <c r="G45" s="144"/>
      <c r="H45" s="144"/>
      <c r="I45" s="144"/>
      <c r="J45" s="12"/>
    </row>
    <row r="46" spans="1:10" ht="16.5" thickBot="1">
      <c r="A46" s="72" t="s">
        <v>59</v>
      </c>
      <c r="B46" s="144" t="s">
        <v>60</v>
      </c>
      <c r="C46" s="144">
        <v>262</v>
      </c>
      <c r="D46" s="144"/>
      <c r="E46" s="144"/>
      <c r="F46" s="144"/>
      <c r="G46" s="144"/>
      <c r="H46" s="144"/>
      <c r="I46" s="144"/>
      <c r="J46" s="12"/>
    </row>
    <row r="47" spans="1:10" ht="38.25" customHeight="1" thickBot="1">
      <c r="A47" s="72" t="s">
        <v>61</v>
      </c>
      <c r="B47" s="144" t="s">
        <v>62</v>
      </c>
      <c r="C47" s="147">
        <v>290</v>
      </c>
      <c r="D47" s="147">
        <f>E47+F47</f>
        <v>4330.45</v>
      </c>
      <c r="E47" s="147"/>
      <c r="F47" s="147">
        <v>4330.45</v>
      </c>
      <c r="G47" s="147">
        <f>H47+I47</f>
        <v>4330.45</v>
      </c>
      <c r="H47" s="147"/>
      <c r="I47" s="147">
        <f>4330.45</f>
        <v>4330.45</v>
      </c>
      <c r="J47" s="12"/>
    </row>
    <row r="48" spans="1:10" ht="33" customHeight="1" thickBot="1">
      <c r="A48" s="72" t="s">
        <v>63</v>
      </c>
      <c r="B48" s="144" t="s">
        <v>64</v>
      </c>
      <c r="C48" s="147">
        <v>300</v>
      </c>
      <c r="D48" s="147">
        <f t="shared" ref="D48:I48" si="4">D50+D51</f>
        <v>115940.23</v>
      </c>
      <c r="E48" s="147">
        <f t="shared" si="4"/>
        <v>115940.23</v>
      </c>
      <c r="F48" s="147">
        <f t="shared" si="4"/>
        <v>0</v>
      </c>
      <c r="G48" s="147">
        <f t="shared" si="4"/>
        <v>157270.22999999998</v>
      </c>
      <c r="H48" s="147">
        <f t="shared" si="4"/>
        <v>157660.22999999998</v>
      </c>
      <c r="I48" s="147">
        <f t="shared" si="4"/>
        <v>-390</v>
      </c>
      <c r="J48" s="12"/>
    </row>
    <row r="49" spans="1:10" ht="16.5" thickBot="1">
      <c r="A49" s="72"/>
      <c r="B49" s="144" t="s">
        <v>38</v>
      </c>
      <c r="C49" s="144"/>
      <c r="D49" s="144"/>
      <c r="E49" s="144"/>
      <c r="F49" s="144"/>
      <c r="G49" s="144"/>
      <c r="H49" s="144"/>
      <c r="I49" s="144"/>
      <c r="J49" s="12"/>
    </row>
    <row r="50" spans="1:10" ht="16.5" thickBot="1">
      <c r="A50" s="72" t="s">
        <v>65</v>
      </c>
      <c r="B50" s="144" t="s">
        <v>66</v>
      </c>
      <c r="C50" s="144">
        <v>310</v>
      </c>
      <c r="D50" s="144">
        <f>E50+F50</f>
        <v>115940.23</v>
      </c>
      <c r="E50" s="144">
        <f>21150+94790.23</f>
        <v>115940.23</v>
      </c>
      <c r="F50" s="144"/>
      <c r="G50" s="144">
        <f>H50+I50</f>
        <v>115550.23</v>
      </c>
      <c r="H50" s="144">
        <v>115940.23</v>
      </c>
      <c r="I50" s="144">
        <f>-390</f>
        <v>-390</v>
      </c>
      <c r="J50" s="12"/>
    </row>
    <row r="51" spans="1:10" ht="16.5" thickBot="1">
      <c r="A51" s="72" t="s">
        <v>67</v>
      </c>
      <c r="B51" s="144" t="s">
        <v>68</v>
      </c>
      <c r="C51" s="144">
        <v>340</v>
      </c>
      <c r="D51" s="144">
        <f>E51+F51</f>
        <v>0</v>
      </c>
      <c r="E51" s="144"/>
      <c r="F51" s="144"/>
      <c r="G51" s="144">
        <f>H51+I51</f>
        <v>41720</v>
      </c>
      <c r="H51" s="144">
        <v>41720</v>
      </c>
      <c r="I51" s="144">
        <f>F51</f>
        <v>0</v>
      </c>
      <c r="J51" s="12"/>
    </row>
    <row r="52" spans="1:10" ht="32.25" thickBot="1">
      <c r="A52" s="15" t="s">
        <v>69</v>
      </c>
      <c r="B52" s="144" t="s">
        <v>70</v>
      </c>
      <c r="C52" s="144" t="s">
        <v>26</v>
      </c>
      <c r="D52" s="144">
        <f>G27+D28-D30</f>
        <v>2148527.5899999989</v>
      </c>
      <c r="E52" s="144">
        <f>H27+E28-E30</f>
        <v>1238254.7399999984</v>
      </c>
      <c r="F52" s="144">
        <f>I27+F28-F30</f>
        <v>910272.85000000009</v>
      </c>
      <c r="G52" s="144">
        <f>G28-G30</f>
        <v>2148527.589999998</v>
      </c>
      <c r="H52" s="144">
        <f>H28-H30</f>
        <v>1238254.7399999984</v>
      </c>
      <c r="I52" s="144">
        <f>I28-I30</f>
        <v>910272.85000000009</v>
      </c>
      <c r="J52" s="12"/>
    </row>
    <row r="53" spans="1:10" ht="18.75">
      <c r="A53" s="23"/>
    </row>
    <row r="54" spans="1:10" ht="60.75" thickBot="1">
      <c r="A54" s="24" t="s">
        <v>71</v>
      </c>
      <c r="B54" s="25"/>
      <c r="C54" s="26" t="s">
        <v>72</v>
      </c>
      <c r="D54" s="25"/>
      <c r="E54" s="26"/>
      <c r="F54" s="25"/>
      <c r="G54" s="26" t="s">
        <v>73</v>
      </c>
      <c r="H54" s="25"/>
      <c r="I54" s="25"/>
    </row>
    <row r="55" spans="1:10">
      <c r="A55" s="27"/>
      <c r="B55" s="27"/>
      <c r="C55" s="28" t="s">
        <v>74</v>
      </c>
      <c r="D55" s="27"/>
      <c r="E55" s="28" t="s">
        <v>75</v>
      </c>
      <c r="F55" s="27"/>
      <c r="G55" s="28" t="s">
        <v>76</v>
      </c>
      <c r="H55" s="29"/>
      <c r="I55" s="29"/>
    </row>
    <row r="56" spans="1:10" ht="24.75" thickBot="1">
      <c r="A56" s="24" t="s">
        <v>77</v>
      </c>
      <c r="B56" s="25"/>
      <c r="C56" s="26"/>
      <c r="D56" s="25"/>
      <c r="E56" s="26" t="s">
        <v>78</v>
      </c>
      <c r="F56" s="25"/>
      <c r="G56" s="25"/>
      <c r="H56" s="25"/>
      <c r="I56" s="25"/>
    </row>
    <row r="57" spans="1:10">
      <c r="A57" s="29"/>
      <c r="B57" s="27"/>
      <c r="C57" s="29" t="s">
        <v>75</v>
      </c>
      <c r="D57" s="27"/>
      <c r="E57" s="29" t="s">
        <v>76</v>
      </c>
      <c r="F57" s="27"/>
      <c r="G57" s="27"/>
      <c r="H57" s="27"/>
      <c r="I57" s="27"/>
    </row>
    <row r="58" spans="1:10" ht="24.75" thickBot="1">
      <c r="A58" s="24" t="s">
        <v>79</v>
      </c>
      <c r="B58" s="25"/>
      <c r="C58" s="30" t="s">
        <v>77</v>
      </c>
      <c r="D58" s="25"/>
      <c r="E58" s="30"/>
      <c r="F58" s="25"/>
      <c r="G58" s="26" t="s">
        <v>78</v>
      </c>
      <c r="H58" s="25"/>
      <c r="I58" s="26" t="s">
        <v>80</v>
      </c>
    </row>
    <row r="59" spans="1:10">
      <c r="A59" s="29"/>
      <c r="B59" s="27"/>
      <c r="C59" s="29" t="s">
        <v>74</v>
      </c>
      <c r="D59" s="27"/>
      <c r="E59" s="29" t="s">
        <v>75</v>
      </c>
      <c r="F59" s="27"/>
      <c r="G59" s="29" t="s">
        <v>76</v>
      </c>
      <c r="H59" s="27"/>
      <c r="I59" s="29" t="s">
        <v>81</v>
      </c>
    </row>
    <row r="60" spans="1:10" ht="18.75">
      <c r="A60" s="7"/>
    </row>
    <row r="61" spans="1:10" ht="18.75">
      <c r="A61" s="7"/>
    </row>
    <row r="62" spans="1:10" ht="18.75">
      <c r="A62" s="7"/>
    </row>
    <row r="63" spans="1:10" ht="18.75">
      <c r="A63" s="7"/>
    </row>
    <row r="64" spans="1:10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7" spans="1:1" ht="15.75">
      <c r="A77" s="1"/>
    </row>
    <row r="78" spans="1:1" ht="15.75">
      <c r="A78" s="1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2" t="s">
        <v>7</v>
      </c>
    </row>
    <row r="85" spans="1:1" ht="15.75">
      <c r="A85" s="1" t="s">
        <v>83</v>
      </c>
    </row>
    <row r="86" spans="1:1" ht="18.75">
      <c r="A86" s="31"/>
    </row>
    <row r="87" spans="1:1" ht="15.75">
      <c r="A87" s="5" t="s">
        <v>84</v>
      </c>
    </row>
    <row r="88" spans="1:1" ht="15.75">
      <c r="A88" s="5" t="s">
        <v>85</v>
      </c>
    </row>
    <row r="89" spans="1:1" ht="15.75">
      <c r="A89" s="5" t="s">
        <v>86</v>
      </c>
    </row>
    <row r="90" spans="1:1" ht="15.75">
      <c r="A90" s="4"/>
    </row>
    <row r="91" spans="1:1" ht="15.75">
      <c r="A91" s="4"/>
    </row>
    <row r="92" spans="1:1" ht="15.75">
      <c r="A92" s="4" t="s">
        <v>9</v>
      </c>
    </row>
    <row r="93" spans="1:1" ht="18.75">
      <c r="A93" s="6"/>
    </row>
    <row r="94" spans="1:1" ht="15.75">
      <c r="A94" s="4" t="s">
        <v>87</v>
      </c>
    </row>
    <row r="95" spans="1:1" ht="15.75">
      <c r="A95" s="4"/>
    </row>
    <row r="96" spans="1:1" ht="18.75">
      <c r="A96" s="7"/>
    </row>
    <row r="97" spans="1:4" ht="16.5" thickBot="1">
      <c r="A97" s="4"/>
    </row>
    <row r="98" spans="1:4" ht="47.25">
      <c r="A98" s="191" t="s">
        <v>88</v>
      </c>
      <c r="B98" s="191" t="s">
        <v>89</v>
      </c>
      <c r="C98" s="32" t="s">
        <v>14</v>
      </c>
      <c r="D98" s="191" t="s">
        <v>92</v>
      </c>
    </row>
    <row r="99" spans="1:4" ht="31.5">
      <c r="A99" s="192"/>
      <c r="B99" s="192"/>
      <c r="C99" s="33" t="s">
        <v>90</v>
      </c>
      <c r="D99" s="192"/>
    </row>
    <row r="100" spans="1:4" ht="47.25">
      <c r="A100" s="192"/>
      <c r="B100" s="192"/>
      <c r="C100" s="33" t="s">
        <v>16</v>
      </c>
      <c r="D100" s="192"/>
    </row>
    <row r="101" spans="1:4" ht="47.25">
      <c r="A101" s="192"/>
      <c r="B101" s="192"/>
      <c r="C101" s="33" t="s">
        <v>17</v>
      </c>
      <c r="D101" s="192"/>
    </row>
    <row r="102" spans="1:4" ht="32.25" thickBot="1">
      <c r="A102" s="193"/>
      <c r="B102" s="193"/>
      <c r="C102" s="34" t="s">
        <v>91</v>
      </c>
      <c r="D102" s="193"/>
    </row>
    <row r="103" spans="1:4" ht="16.5" thickBot="1">
      <c r="A103" s="70">
        <v>1</v>
      </c>
      <c r="B103" s="34">
        <v>2</v>
      </c>
      <c r="C103" s="34">
        <v>3</v>
      </c>
      <c r="D103" s="34">
        <v>4</v>
      </c>
    </row>
    <row r="104" spans="1:4" ht="16.5" thickBot="1">
      <c r="A104" s="70" t="s">
        <v>24</v>
      </c>
      <c r="B104" s="76"/>
      <c r="C104" s="76"/>
      <c r="D104" s="35"/>
    </row>
    <row r="105" spans="1:4" ht="16.5" thickBot="1">
      <c r="A105" s="70" t="s">
        <v>93</v>
      </c>
      <c r="B105" s="76"/>
      <c r="C105" s="76"/>
      <c r="D105" s="35"/>
    </row>
    <row r="106" spans="1:4" ht="16.5" thickBot="1">
      <c r="A106" s="70" t="s">
        <v>94</v>
      </c>
      <c r="B106" s="76"/>
      <c r="C106" s="34"/>
      <c r="D106" s="35"/>
    </row>
    <row r="107" spans="1:4" ht="16.5" thickBot="1">
      <c r="A107" s="70"/>
      <c r="B107" s="76" t="s">
        <v>95</v>
      </c>
      <c r="C107" s="34"/>
      <c r="D107" s="35"/>
    </row>
    <row r="108" spans="1:4" ht="15.75">
      <c r="A108" s="191" t="s">
        <v>96</v>
      </c>
      <c r="B108" s="75" t="s">
        <v>97</v>
      </c>
      <c r="C108" s="191"/>
      <c r="D108" s="194"/>
    </row>
    <row r="109" spans="1:4" ht="16.5" thickBot="1">
      <c r="A109" s="193"/>
      <c r="B109" s="76" t="s">
        <v>98</v>
      </c>
      <c r="C109" s="193"/>
      <c r="D109" s="195"/>
    </row>
    <row r="110" spans="1:4" ht="15.75">
      <c r="A110" s="3"/>
    </row>
    <row r="111" spans="1:4" ht="15.75">
      <c r="A111" s="3"/>
    </row>
    <row r="112" spans="1:4" ht="15.75">
      <c r="A112" s="3"/>
    </row>
    <row r="113" spans="1:9" ht="60.75" thickBot="1">
      <c r="A113" s="37" t="s">
        <v>99</v>
      </c>
      <c r="B113" s="25"/>
      <c r="C113" s="26"/>
      <c r="D113" s="25"/>
      <c r="E113" s="26"/>
      <c r="F113" s="25"/>
      <c r="G113" s="26"/>
      <c r="H113" s="25"/>
      <c r="I113" s="25"/>
    </row>
    <row r="114" spans="1:9">
      <c r="A114" s="27"/>
      <c r="B114" s="27"/>
      <c r="C114" s="28" t="s">
        <v>74</v>
      </c>
      <c r="D114" s="27"/>
      <c r="E114" s="28" t="s">
        <v>75</v>
      </c>
      <c r="F114" s="27"/>
      <c r="G114" s="28" t="s">
        <v>76</v>
      </c>
      <c r="H114" s="29"/>
      <c r="I114" s="29"/>
    </row>
    <row r="115" spans="1:9" ht="24.75" thickBot="1">
      <c r="A115" s="24" t="s">
        <v>77</v>
      </c>
      <c r="B115" s="25"/>
      <c r="C115" s="26"/>
      <c r="D115" s="25"/>
      <c r="E115" s="26"/>
      <c r="F115" s="25"/>
      <c r="G115" s="25"/>
      <c r="H115" s="25"/>
      <c r="I115" s="25"/>
    </row>
    <row r="116" spans="1:9">
      <c r="A116" s="29"/>
      <c r="B116" s="27"/>
      <c r="C116" s="29" t="s">
        <v>75</v>
      </c>
      <c r="D116" s="27"/>
      <c r="E116" s="29" t="s">
        <v>76</v>
      </c>
      <c r="F116" s="27"/>
      <c r="G116" s="27"/>
      <c r="H116" s="27"/>
      <c r="I116" s="27"/>
    </row>
    <row r="117" spans="1:9" ht="24.75" thickBot="1">
      <c r="A117" s="24" t="s">
        <v>79</v>
      </c>
      <c r="B117" s="25"/>
      <c r="C117" s="30"/>
      <c r="D117" s="25"/>
      <c r="E117" s="30"/>
      <c r="F117" s="25"/>
      <c r="G117" s="26"/>
      <c r="H117" s="25"/>
      <c r="I117" s="26"/>
    </row>
    <row r="118" spans="1:9">
      <c r="A118" s="29"/>
      <c r="B118" s="27"/>
      <c r="C118" s="29" t="s">
        <v>74</v>
      </c>
      <c r="D118" s="27"/>
      <c r="E118" s="29" t="s">
        <v>75</v>
      </c>
      <c r="F118" s="27"/>
      <c r="G118" s="29" t="s">
        <v>76</v>
      </c>
      <c r="H118" s="27"/>
      <c r="I118" s="29" t="s">
        <v>81</v>
      </c>
    </row>
    <row r="119" spans="1:9" ht="18.75">
      <c r="A119" s="7"/>
    </row>
    <row r="120" spans="1:9" ht="18.75">
      <c r="A120" s="7"/>
    </row>
    <row r="121" spans="1:9" ht="18.75">
      <c r="A121" s="7"/>
    </row>
    <row r="122" spans="1:9" ht="18.75">
      <c r="A122" s="7"/>
    </row>
    <row r="123" spans="1:9" ht="18.75">
      <c r="A123" s="7"/>
    </row>
  </sheetData>
  <mergeCells count="23">
    <mergeCell ref="A108:A109"/>
    <mergeCell ref="C108:C109"/>
    <mergeCell ref="D108:D109"/>
    <mergeCell ref="G28:G29"/>
    <mergeCell ref="H28:H29"/>
    <mergeCell ref="I28:I29"/>
    <mergeCell ref="J28:J29"/>
    <mergeCell ref="A98:A102"/>
    <mergeCell ref="B98:B102"/>
    <mergeCell ref="D98:D102"/>
    <mergeCell ref="A28:A29"/>
    <mergeCell ref="B28:B29"/>
    <mergeCell ref="C28:C29"/>
    <mergeCell ref="D28:D29"/>
    <mergeCell ref="E28:E29"/>
    <mergeCell ref="F28:F29"/>
    <mergeCell ref="D20:D24"/>
    <mergeCell ref="E20:F22"/>
    <mergeCell ref="G20:G24"/>
    <mergeCell ref="H20:I23"/>
    <mergeCell ref="J20:J22"/>
    <mergeCell ref="E23:E24"/>
    <mergeCell ref="F23:F24"/>
  </mergeCells>
  <pageMargins left="0.7" right="0.7" top="0.75" bottom="0.75" header="0.3" footer="0.3"/>
  <pageSetup paperSize="9" scale="5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23"/>
  <sheetViews>
    <sheetView topLeftCell="A68" workbookViewId="0">
      <selection activeCell="A77" sqref="A77:A82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3.5703125" customWidth="1"/>
    <col min="7" max="7" width="18.85546875" customWidth="1"/>
    <col min="8" max="8" width="23.7109375" customWidth="1"/>
    <col min="9" max="9" width="26.5703125" customWidth="1"/>
    <col min="10" max="10" width="36.28515625" customWidth="1"/>
  </cols>
  <sheetData>
    <row r="1" spans="1:8" ht="23.25">
      <c r="G1" s="77" t="s">
        <v>116</v>
      </c>
    </row>
    <row r="2" spans="1:8" ht="15.75">
      <c r="A2" s="69"/>
      <c r="B2" s="43"/>
      <c r="C2" s="43"/>
      <c r="D2" s="43"/>
      <c r="E2" s="43"/>
      <c r="F2" s="43"/>
      <c r="G2" s="69" t="s">
        <v>0</v>
      </c>
      <c r="H2" s="69"/>
    </row>
    <row r="3" spans="1:8" ht="15.75">
      <c r="A3" s="69"/>
      <c r="B3" s="43"/>
      <c r="C3" s="43"/>
      <c r="D3" s="43"/>
      <c r="E3" s="43"/>
      <c r="F3" s="43"/>
      <c r="G3" s="69" t="s">
        <v>1</v>
      </c>
      <c r="H3" s="69"/>
    </row>
    <row r="4" spans="1:8" ht="15.75">
      <c r="A4" s="69"/>
      <c r="B4" s="43"/>
      <c r="C4" s="43"/>
      <c r="D4" s="43"/>
      <c r="E4" s="43"/>
      <c r="F4" s="43"/>
      <c r="G4" s="69" t="s">
        <v>2</v>
      </c>
      <c r="H4" s="69"/>
    </row>
    <row r="5" spans="1:8" ht="15.75">
      <c r="A5" s="69"/>
      <c r="B5" s="43"/>
      <c r="C5" s="43"/>
      <c r="D5" s="43"/>
      <c r="E5" s="43"/>
      <c r="F5" s="43"/>
      <c r="G5" s="69" t="s">
        <v>3</v>
      </c>
      <c r="H5" s="69"/>
    </row>
    <row r="6" spans="1:8" ht="15.75">
      <c r="A6" s="69"/>
      <c r="B6" s="43"/>
      <c r="C6" s="43"/>
      <c r="D6" s="43"/>
      <c r="E6" s="43"/>
      <c r="F6" s="43"/>
      <c r="G6" s="69" t="s">
        <v>4</v>
      </c>
      <c r="H6" s="69"/>
    </row>
    <row r="7" spans="1:8" ht="15.75">
      <c r="A7" s="69"/>
      <c r="B7" s="43"/>
      <c r="C7" s="43"/>
      <c r="D7" s="43"/>
      <c r="E7" s="43"/>
      <c r="F7" s="43"/>
      <c r="G7" s="69" t="s">
        <v>5</v>
      </c>
      <c r="H7" s="69"/>
    </row>
    <row r="8" spans="1:8" ht="15.75">
      <c r="A8" s="69"/>
      <c r="B8" s="43"/>
      <c r="C8" s="43"/>
      <c r="D8" s="43"/>
      <c r="E8" s="43"/>
      <c r="F8" s="43"/>
      <c r="G8" s="69" t="s">
        <v>6</v>
      </c>
      <c r="H8" s="69"/>
    </row>
    <row r="9" spans="1:8" ht="15.75">
      <c r="A9" s="44"/>
      <c r="B9" s="43"/>
      <c r="C9" s="43"/>
      <c r="D9" s="43"/>
      <c r="E9" s="43"/>
      <c r="F9" s="43"/>
      <c r="G9" s="44" t="s">
        <v>7</v>
      </c>
      <c r="H9" s="44"/>
    </row>
    <row r="10" spans="1:8" ht="15.75">
      <c r="A10" s="69"/>
      <c r="B10" s="43"/>
      <c r="C10" s="43"/>
      <c r="D10" s="43"/>
      <c r="E10" s="43"/>
      <c r="F10" s="43"/>
      <c r="G10" s="69" t="s">
        <v>8</v>
      </c>
      <c r="H10" s="69"/>
    </row>
    <row r="11" spans="1:8" ht="15.75">
      <c r="A11" s="45"/>
      <c r="B11" s="43"/>
      <c r="C11" s="43"/>
      <c r="D11" s="43"/>
      <c r="E11" s="43"/>
      <c r="F11" s="43"/>
      <c r="G11" s="43"/>
      <c r="H11" s="43"/>
    </row>
    <row r="12" spans="1:8" ht="18.75">
      <c r="A12" s="47"/>
      <c r="B12" s="49" t="s">
        <v>101</v>
      </c>
      <c r="C12" s="49"/>
      <c r="D12" s="49"/>
      <c r="E12" s="48"/>
      <c r="F12" s="48"/>
      <c r="G12" s="48"/>
      <c r="H12" s="48"/>
    </row>
    <row r="13" spans="1:8" ht="15.75">
      <c r="A13" s="43"/>
      <c r="B13" s="50" t="s">
        <v>100</v>
      </c>
      <c r="C13" s="51"/>
      <c r="D13" s="51"/>
      <c r="E13" s="51"/>
      <c r="F13" s="43"/>
      <c r="G13" s="43"/>
      <c r="H13" s="43"/>
    </row>
    <row r="14" spans="1:8" ht="15.75">
      <c r="A14" s="45"/>
      <c r="B14" s="43"/>
      <c r="C14" s="43"/>
      <c r="D14" s="43"/>
      <c r="E14" s="43"/>
      <c r="F14" s="43"/>
      <c r="G14" s="43"/>
      <c r="H14" s="43"/>
    </row>
    <row r="15" spans="1:8" ht="18.75">
      <c r="A15" s="46"/>
      <c r="B15" s="51" t="s">
        <v>130</v>
      </c>
      <c r="C15" s="43"/>
      <c r="D15" s="43"/>
      <c r="E15" s="43"/>
      <c r="F15" s="43"/>
      <c r="G15" s="43"/>
      <c r="H15" s="43"/>
    </row>
    <row r="16" spans="1:8" ht="18.75">
      <c r="A16" s="6"/>
    </row>
    <row r="17" spans="1:10" ht="15.75">
      <c r="A17" s="4"/>
    </row>
    <row r="18" spans="1:10" ht="15.75">
      <c r="A18" s="4"/>
    </row>
    <row r="19" spans="1:10" ht="19.5" thickBot="1">
      <c r="A19" s="7"/>
    </row>
    <row r="20" spans="1:10" ht="47.25">
      <c r="A20" s="78" t="s">
        <v>10</v>
      </c>
      <c r="B20" s="81" t="s">
        <v>12</v>
      </c>
      <c r="C20" s="81" t="s">
        <v>14</v>
      </c>
      <c r="D20" s="179" t="s">
        <v>19</v>
      </c>
      <c r="E20" s="182" t="s">
        <v>20</v>
      </c>
      <c r="F20" s="183"/>
      <c r="G20" s="179" t="s">
        <v>21</v>
      </c>
      <c r="H20" s="182" t="s">
        <v>20</v>
      </c>
      <c r="I20" s="183"/>
      <c r="J20" s="188"/>
    </row>
    <row r="21" spans="1:10" ht="31.5">
      <c r="A21" s="79" t="s">
        <v>11</v>
      </c>
      <c r="B21" s="82" t="s">
        <v>13</v>
      </c>
      <c r="C21" s="82" t="s">
        <v>15</v>
      </c>
      <c r="D21" s="180"/>
      <c r="E21" s="184"/>
      <c r="F21" s="185"/>
      <c r="G21" s="180"/>
      <c r="H21" s="184"/>
      <c r="I21" s="185"/>
      <c r="J21" s="188"/>
    </row>
    <row r="22" spans="1:10" ht="48" thickBot="1">
      <c r="A22" s="8"/>
      <c r="B22" s="10"/>
      <c r="C22" s="82" t="s">
        <v>16</v>
      </c>
      <c r="D22" s="180"/>
      <c r="E22" s="186"/>
      <c r="F22" s="187"/>
      <c r="G22" s="180"/>
      <c r="H22" s="184"/>
      <c r="I22" s="185"/>
      <c r="J22" s="188"/>
    </row>
    <row r="23" spans="1:10" ht="48" thickBot="1">
      <c r="A23" s="8"/>
      <c r="B23" s="10"/>
      <c r="C23" s="82" t="s">
        <v>17</v>
      </c>
      <c r="D23" s="180"/>
      <c r="E23" s="179" t="s">
        <v>22</v>
      </c>
      <c r="F23" s="179" t="s">
        <v>23</v>
      </c>
      <c r="G23" s="180"/>
      <c r="H23" s="186"/>
      <c r="I23" s="187"/>
      <c r="J23" s="12"/>
    </row>
    <row r="24" spans="1:10" ht="32.25" thickBot="1">
      <c r="A24" s="9"/>
      <c r="B24" s="11"/>
      <c r="C24" s="83" t="s">
        <v>18</v>
      </c>
      <c r="D24" s="181"/>
      <c r="E24" s="181"/>
      <c r="F24" s="181"/>
      <c r="G24" s="181"/>
      <c r="H24" s="83" t="s">
        <v>22</v>
      </c>
      <c r="I24" s="83" t="s">
        <v>23</v>
      </c>
      <c r="J24" s="12"/>
    </row>
    <row r="25" spans="1:10" ht="16.5" thickBot="1">
      <c r="A25" s="80">
        <v>1</v>
      </c>
      <c r="B25" s="83">
        <v>2</v>
      </c>
      <c r="C25" s="83">
        <v>3</v>
      </c>
      <c r="D25" s="83">
        <v>4</v>
      </c>
      <c r="E25" s="83"/>
      <c r="F25" s="83"/>
      <c r="G25" s="83"/>
      <c r="H25" s="83">
        <v>5</v>
      </c>
      <c r="I25" s="83">
        <v>6</v>
      </c>
      <c r="J25" s="12"/>
    </row>
    <row r="26" spans="1:10" ht="29.25" customHeight="1" thickBot="1">
      <c r="A26" s="80" t="s">
        <v>24</v>
      </c>
      <c r="B26" s="83" t="s">
        <v>105</v>
      </c>
      <c r="C26" s="83" t="s">
        <v>26</v>
      </c>
      <c r="D26" s="83">
        <f>E26+F26</f>
        <v>3908203</v>
      </c>
      <c r="E26" s="83">
        <v>3389380</v>
      </c>
      <c r="F26" s="83">
        <v>518823</v>
      </c>
      <c r="G26" s="83">
        <f>H26+I26</f>
        <v>46938434</v>
      </c>
      <c r="H26" s="83">
        <v>40672557</v>
      </c>
      <c r="I26" s="83">
        <v>6265877</v>
      </c>
      <c r="J26" s="12"/>
    </row>
    <row r="27" spans="1:10" ht="38.25" customHeight="1" thickBot="1">
      <c r="A27" s="80" t="s">
        <v>27</v>
      </c>
      <c r="B27" s="144" t="s">
        <v>28</v>
      </c>
      <c r="C27" s="144" t="s">
        <v>29</v>
      </c>
      <c r="D27" s="147">
        <f>E27+F27</f>
        <v>2148527.59</v>
      </c>
      <c r="E27" s="147">
        <v>1238254.74</v>
      </c>
      <c r="F27" s="147">
        <v>910272.85</v>
      </c>
      <c r="G27" s="147">
        <f>H27+I27</f>
        <v>2148527.59</v>
      </c>
      <c r="H27" s="147">
        <v>1238254.74</v>
      </c>
      <c r="I27" s="147">
        <v>910272.85</v>
      </c>
      <c r="J27" s="12"/>
    </row>
    <row r="28" spans="1:10" ht="27" customHeight="1">
      <c r="A28" s="179" t="s">
        <v>30</v>
      </c>
      <c r="B28" s="204" t="s">
        <v>31</v>
      </c>
      <c r="C28" s="204" t="s">
        <v>32</v>
      </c>
      <c r="D28" s="202">
        <f>E28+F28</f>
        <v>3626051.92</v>
      </c>
      <c r="E28" s="202">
        <v>3107051.92</v>
      </c>
      <c r="F28" s="202">
        <v>519000</v>
      </c>
      <c r="G28" s="202">
        <f>H28+I28</f>
        <v>13869883.220000001</v>
      </c>
      <c r="H28" s="202">
        <f>8686831.3+3107051.92</f>
        <v>11793883.220000001</v>
      </c>
      <c r="I28" s="202">
        <f>519000+519000+519000+519000</f>
        <v>2076000</v>
      </c>
      <c r="J28" s="188"/>
    </row>
    <row r="29" spans="1:10" ht="24" customHeight="1" thickBot="1">
      <c r="A29" s="181"/>
      <c r="B29" s="205"/>
      <c r="C29" s="205"/>
      <c r="D29" s="203"/>
      <c r="E29" s="203"/>
      <c r="F29" s="203"/>
      <c r="G29" s="203"/>
      <c r="H29" s="203"/>
      <c r="I29" s="203"/>
      <c r="J29" s="188"/>
    </row>
    <row r="30" spans="1:10" ht="47.25" customHeight="1" thickBot="1">
      <c r="A30" s="41" t="s">
        <v>33</v>
      </c>
      <c r="B30" s="146" t="s">
        <v>34</v>
      </c>
      <c r="C30" s="146">
        <v>900</v>
      </c>
      <c r="D30" s="149">
        <f>E30+F30</f>
        <v>3356367.99</v>
      </c>
      <c r="E30" s="149">
        <f t="shared" ref="E30:I30" si="0">E32+E37+E44+E47+E48</f>
        <v>3003982.3800000004</v>
      </c>
      <c r="F30" s="149">
        <f t="shared" si="0"/>
        <v>352385.60999999993</v>
      </c>
      <c r="G30" s="149">
        <f t="shared" si="0"/>
        <v>11451671.699999999</v>
      </c>
      <c r="H30" s="149">
        <f t="shared" si="0"/>
        <v>10452558.940000001</v>
      </c>
      <c r="I30" s="149">
        <f t="shared" si="0"/>
        <v>999112.76</v>
      </c>
      <c r="J30" s="12"/>
    </row>
    <row r="31" spans="1:10" ht="16.5" thickBot="1">
      <c r="A31" s="80"/>
      <c r="B31" s="144" t="s">
        <v>35</v>
      </c>
      <c r="C31" s="144"/>
      <c r="D31" s="144"/>
      <c r="E31" s="144"/>
      <c r="F31" s="144"/>
      <c r="G31" s="144"/>
      <c r="H31" s="144"/>
      <c r="I31" s="144"/>
      <c r="J31" s="12"/>
    </row>
    <row r="32" spans="1:10" ht="32.25" thickBot="1">
      <c r="A32" s="80" t="s">
        <v>36</v>
      </c>
      <c r="B32" s="144" t="s">
        <v>37</v>
      </c>
      <c r="C32" s="144">
        <v>210</v>
      </c>
      <c r="D32" s="147">
        <f>D34+D35+D36</f>
        <v>3132481.0000000005</v>
      </c>
      <c r="E32" s="147">
        <f>E34+E35+E36</f>
        <v>2954176.2600000002</v>
      </c>
      <c r="F32" s="147">
        <f>F34+F35+F36</f>
        <v>178304.74</v>
      </c>
      <c r="G32" s="144">
        <f t="shared" ref="G32:I32" si="1">G34+G35+G36</f>
        <v>10837720.390000001</v>
      </c>
      <c r="H32" s="144">
        <f t="shared" si="1"/>
        <v>10245092.590000002</v>
      </c>
      <c r="I32" s="144">
        <f t="shared" si="1"/>
        <v>592627.80000000005</v>
      </c>
      <c r="J32" s="12"/>
    </row>
    <row r="33" spans="1:10" ht="16.5" thickBot="1">
      <c r="A33" s="80"/>
      <c r="B33" s="144" t="s">
        <v>38</v>
      </c>
      <c r="C33" s="144"/>
      <c r="D33" s="144"/>
      <c r="E33" s="144"/>
      <c r="F33" s="144"/>
      <c r="G33" s="144"/>
      <c r="H33" s="144"/>
      <c r="I33" s="144"/>
      <c r="J33" s="12"/>
    </row>
    <row r="34" spans="1:10" ht="16.5" thickBot="1">
      <c r="A34" s="80" t="s">
        <v>39</v>
      </c>
      <c r="B34" s="144" t="s">
        <v>40</v>
      </c>
      <c r="C34" s="144">
        <v>211</v>
      </c>
      <c r="D34" s="144">
        <f>E34+F34</f>
        <v>2415680.1700000004</v>
      </c>
      <c r="E34" s="144">
        <v>2287288.7000000002</v>
      </c>
      <c r="F34" s="144">
        <v>128391.47</v>
      </c>
      <c r="G34" s="144">
        <f>H34+I34</f>
        <v>8877662.5200000014</v>
      </c>
      <c r="H34" s="144">
        <f>6147588.65+2287288.7</f>
        <v>8434877.3500000015</v>
      </c>
      <c r="I34" s="144">
        <f>33000+85172.82+196220.88+128391.47</f>
        <v>442785.17000000004</v>
      </c>
      <c r="J34" s="12"/>
    </row>
    <row r="35" spans="1:10" ht="16.5" thickBot="1">
      <c r="A35" s="80" t="s">
        <v>41</v>
      </c>
      <c r="B35" s="144" t="s">
        <v>42</v>
      </c>
      <c r="C35" s="144">
        <v>212</v>
      </c>
      <c r="D35" s="144">
        <f>E35+F35</f>
        <v>5600</v>
      </c>
      <c r="E35" s="144"/>
      <c r="F35" s="144">
        <v>5600</v>
      </c>
      <c r="G35" s="144">
        <f>H35+I35</f>
        <v>22400</v>
      </c>
      <c r="H35" s="144"/>
      <c r="I35" s="144">
        <f>5600+11200+5600</f>
        <v>22400</v>
      </c>
      <c r="J35" s="12"/>
    </row>
    <row r="36" spans="1:10" ht="16.5" thickBot="1">
      <c r="A36" s="80" t="s">
        <v>43</v>
      </c>
      <c r="B36" s="144" t="s">
        <v>44</v>
      </c>
      <c r="C36" s="144">
        <v>213</v>
      </c>
      <c r="D36" s="144">
        <f>E36+F36</f>
        <v>711200.83000000007</v>
      </c>
      <c r="E36" s="144">
        <v>666887.56000000006</v>
      </c>
      <c r="F36" s="144">
        <v>44313.27</v>
      </c>
      <c r="G36" s="144">
        <f>H36+I36</f>
        <v>1937657.87</v>
      </c>
      <c r="H36" s="144">
        <f>666887.56+1143327.68</f>
        <v>1810215.24</v>
      </c>
      <c r="I36" s="144">
        <f>44313.27+83129.36</f>
        <v>127442.63</v>
      </c>
      <c r="J36" s="12"/>
    </row>
    <row r="37" spans="1:10" ht="16.5" thickBot="1">
      <c r="A37" s="80" t="s">
        <v>45</v>
      </c>
      <c r="B37" s="144" t="s">
        <v>46</v>
      </c>
      <c r="C37" s="147">
        <v>220</v>
      </c>
      <c r="D37" s="147">
        <f>E37+F37</f>
        <v>101892.19999999998</v>
      </c>
      <c r="E37" s="147">
        <f>E38+E39+E40+E41+E42+E43</f>
        <v>0</v>
      </c>
      <c r="F37" s="147">
        <f>F38+F39+F40+F41+F42+F43</f>
        <v>101892.19999999998</v>
      </c>
      <c r="G37" s="147">
        <f>G39+G40+G41+G42+G43</f>
        <v>330355.83999999997</v>
      </c>
      <c r="H37" s="147">
        <f>H39+H40+H41+H42+H43</f>
        <v>0</v>
      </c>
      <c r="I37" s="147">
        <f>I39+I40+I41+I42+I43</f>
        <v>330355.83999999997</v>
      </c>
      <c r="J37" s="12"/>
    </row>
    <row r="38" spans="1:10" ht="16.5" thickBot="1">
      <c r="A38" s="80"/>
      <c r="B38" s="144" t="s">
        <v>38</v>
      </c>
      <c r="C38" s="144"/>
      <c r="D38" s="144"/>
      <c r="E38" s="144"/>
      <c r="F38" s="144"/>
      <c r="G38" s="144"/>
      <c r="H38" s="144"/>
      <c r="I38" s="144"/>
      <c r="J38" s="12"/>
    </row>
    <row r="39" spans="1:10" ht="16.5" thickBot="1">
      <c r="A39" s="80" t="s">
        <v>47</v>
      </c>
      <c r="B39" s="144" t="s">
        <v>48</v>
      </c>
      <c r="C39" s="144">
        <v>221</v>
      </c>
      <c r="D39" s="144">
        <f>E39+F39</f>
        <v>2428.4</v>
      </c>
      <c r="E39" s="144"/>
      <c r="F39" s="144">
        <v>2428.4</v>
      </c>
      <c r="G39" s="144">
        <f>H39+I39</f>
        <v>5393.46</v>
      </c>
      <c r="H39" s="144"/>
      <c r="I39" s="144">
        <f>2965.06+2428.4</f>
        <v>5393.46</v>
      </c>
      <c r="J39" s="12"/>
    </row>
    <row r="40" spans="1:10" ht="26.25" customHeight="1" thickBot="1">
      <c r="A40" s="80" t="s">
        <v>49</v>
      </c>
      <c r="B40" s="144" t="s">
        <v>50</v>
      </c>
      <c r="C40" s="144">
        <v>222</v>
      </c>
      <c r="D40" s="144">
        <f t="shared" ref="D40:D43" si="2">E40+F40</f>
        <v>0</v>
      </c>
      <c r="E40" s="144"/>
      <c r="F40" s="144"/>
      <c r="G40" s="144">
        <f>H40+I40</f>
        <v>0</v>
      </c>
      <c r="H40" s="144"/>
      <c r="I40" s="144"/>
      <c r="J40" s="12"/>
    </row>
    <row r="41" spans="1:10" ht="29.25" customHeight="1" thickBot="1">
      <c r="A41" s="80" t="s">
        <v>51</v>
      </c>
      <c r="B41" s="144" t="s">
        <v>52</v>
      </c>
      <c r="C41" s="144">
        <v>223</v>
      </c>
      <c r="D41" s="144">
        <f t="shared" si="2"/>
        <v>32184.19</v>
      </c>
      <c r="E41" s="144"/>
      <c r="F41" s="144">
        <v>32184.19</v>
      </c>
      <c r="G41" s="144">
        <f>H41+I41</f>
        <v>121118.58</v>
      </c>
      <c r="H41" s="144"/>
      <c r="I41" s="144">
        <f>88934.39+32184.19</f>
        <v>121118.58</v>
      </c>
      <c r="J41" s="12"/>
    </row>
    <row r="42" spans="1:10" ht="16.5" thickBot="1">
      <c r="A42" s="80" t="s">
        <v>53</v>
      </c>
      <c r="B42" s="144" t="s">
        <v>54</v>
      </c>
      <c r="C42" s="144">
        <v>225</v>
      </c>
      <c r="D42" s="144">
        <f t="shared" si="2"/>
        <v>26225.01</v>
      </c>
      <c r="E42" s="144"/>
      <c r="F42" s="144">
        <v>26225.01</v>
      </c>
      <c r="G42" s="144">
        <f>H42+I42</f>
        <v>102205.51</v>
      </c>
      <c r="H42" s="144"/>
      <c r="I42" s="144">
        <f>75980.5+26225.01</f>
        <v>102205.51</v>
      </c>
      <c r="J42" s="12"/>
    </row>
    <row r="43" spans="1:10" ht="30" customHeight="1" thickBot="1">
      <c r="A43" s="80" t="s">
        <v>55</v>
      </c>
      <c r="B43" s="144" t="s">
        <v>56</v>
      </c>
      <c r="C43" s="144">
        <v>226</v>
      </c>
      <c r="D43" s="144">
        <f t="shared" si="2"/>
        <v>41054.6</v>
      </c>
      <c r="E43" s="144"/>
      <c r="F43" s="144">
        <v>41054.6</v>
      </c>
      <c r="G43" s="144">
        <f>H43+I43</f>
        <v>101638.29000000001</v>
      </c>
      <c r="H43" s="144"/>
      <c r="I43" s="144">
        <f>16491.07+19937.75+24154.87+41054.6</f>
        <v>101638.29000000001</v>
      </c>
      <c r="J43" s="12"/>
    </row>
    <row r="44" spans="1:10" ht="16.5" thickBot="1">
      <c r="A44" s="80" t="s">
        <v>57</v>
      </c>
      <c r="B44" s="144" t="s">
        <v>58</v>
      </c>
      <c r="C44" s="147">
        <v>260</v>
      </c>
      <c r="D44" s="147">
        <f t="shared" ref="D44:G44" si="3">D46</f>
        <v>0</v>
      </c>
      <c r="E44" s="147"/>
      <c r="F44" s="147"/>
      <c r="G44" s="147">
        <f t="shared" si="3"/>
        <v>0</v>
      </c>
      <c r="H44" s="147"/>
      <c r="I44" s="147"/>
      <c r="J44" s="12"/>
    </row>
    <row r="45" spans="1:10" ht="16.5" thickBot="1">
      <c r="A45" s="80"/>
      <c r="B45" s="144" t="s">
        <v>38</v>
      </c>
      <c r="C45" s="144"/>
      <c r="D45" s="144"/>
      <c r="E45" s="144"/>
      <c r="F45" s="144"/>
      <c r="G45" s="144"/>
      <c r="H45" s="144"/>
      <c r="I45" s="144"/>
      <c r="J45" s="12"/>
    </row>
    <row r="46" spans="1:10" ht="16.5" thickBot="1">
      <c r="A46" s="80" t="s">
        <v>59</v>
      </c>
      <c r="B46" s="144" t="s">
        <v>60</v>
      </c>
      <c r="C46" s="144">
        <v>262</v>
      </c>
      <c r="D46" s="144"/>
      <c r="E46" s="144"/>
      <c r="F46" s="144"/>
      <c r="G46" s="144"/>
      <c r="H46" s="144"/>
      <c r="I46" s="144"/>
      <c r="J46" s="12"/>
    </row>
    <row r="47" spans="1:10" ht="38.25" customHeight="1" thickBot="1">
      <c r="A47" s="80" t="s">
        <v>61</v>
      </c>
      <c r="B47" s="144" t="s">
        <v>62</v>
      </c>
      <c r="C47" s="147">
        <v>290</v>
      </c>
      <c r="D47" s="147">
        <f>E47+F47</f>
        <v>0</v>
      </c>
      <c r="E47" s="147"/>
      <c r="F47" s="147"/>
      <c r="G47" s="147">
        <f>H47+I47</f>
        <v>4330.45</v>
      </c>
      <c r="H47" s="147"/>
      <c r="I47" s="147">
        <f>4330.45</f>
        <v>4330.45</v>
      </c>
      <c r="J47" s="12"/>
    </row>
    <row r="48" spans="1:10" ht="33" customHeight="1" thickBot="1">
      <c r="A48" s="80" t="s">
        <v>63</v>
      </c>
      <c r="B48" s="144" t="s">
        <v>64</v>
      </c>
      <c r="C48" s="147">
        <v>300</v>
      </c>
      <c r="D48" s="147">
        <f t="shared" ref="D48:I48" si="4">D50+D51</f>
        <v>121994.79000000001</v>
      </c>
      <c r="E48" s="147">
        <f t="shared" si="4"/>
        <v>49806.12</v>
      </c>
      <c r="F48" s="147">
        <f>F50+F51</f>
        <v>72188.67</v>
      </c>
      <c r="G48" s="147">
        <f t="shared" si="4"/>
        <v>279265.02</v>
      </c>
      <c r="H48" s="147">
        <f t="shared" si="4"/>
        <v>207466.35</v>
      </c>
      <c r="I48" s="147">
        <f t="shared" si="4"/>
        <v>71798.67</v>
      </c>
      <c r="J48" s="12"/>
    </row>
    <row r="49" spans="1:10" ht="16.5" thickBot="1">
      <c r="A49" s="80"/>
      <c r="B49" s="144" t="s">
        <v>38</v>
      </c>
      <c r="C49" s="144"/>
      <c r="D49" s="144"/>
      <c r="E49" s="144"/>
      <c r="F49" s="144"/>
      <c r="G49" s="144"/>
      <c r="H49" s="144"/>
      <c r="I49" s="144"/>
      <c r="J49" s="12"/>
    </row>
    <row r="50" spans="1:10" ht="16.5" thickBot="1">
      <c r="A50" s="80" t="s">
        <v>65</v>
      </c>
      <c r="B50" s="144" t="s">
        <v>66</v>
      </c>
      <c r="C50" s="144">
        <v>310</v>
      </c>
      <c r="D50" s="144">
        <f>E50+F50</f>
        <v>58706.12</v>
      </c>
      <c r="E50" s="144">
        <v>49806.12</v>
      </c>
      <c r="F50" s="144">
        <v>8900</v>
      </c>
      <c r="G50" s="144">
        <f>H50+I50</f>
        <v>174256.35</v>
      </c>
      <c r="H50" s="144">
        <f>115940.23+49806.12</f>
        <v>165746.35</v>
      </c>
      <c r="I50" s="144">
        <f>-390+8900</f>
        <v>8510</v>
      </c>
      <c r="J50" s="12"/>
    </row>
    <row r="51" spans="1:10" ht="16.5" thickBot="1">
      <c r="A51" s="80" t="s">
        <v>67</v>
      </c>
      <c r="B51" s="144" t="s">
        <v>68</v>
      </c>
      <c r="C51" s="144">
        <v>340</v>
      </c>
      <c r="D51" s="144">
        <f>E51+F51</f>
        <v>63288.67</v>
      </c>
      <c r="E51" s="144"/>
      <c r="F51" s="144">
        <v>63288.67</v>
      </c>
      <c r="G51" s="144">
        <f>H51+I51</f>
        <v>105008.67</v>
      </c>
      <c r="H51" s="144">
        <v>41720</v>
      </c>
      <c r="I51" s="144">
        <f>63288.67</f>
        <v>63288.67</v>
      </c>
      <c r="J51" s="12"/>
    </row>
    <row r="52" spans="1:10" ht="32.25" thickBot="1">
      <c r="A52" s="15" t="s">
        <v>69</v>
      </c>
      <c r="B52" s="144" t="s">
        <v>70</v>
      </c>
      <c r="C52" s="144" t="s">
        <v>26</v>
      </c>
      <c r="D52" s="144">
        <f>G27+D28-D30</f>
        <v>2418211.5199999996</v>
      </c>
      <c r="E52" s="144">
        <f>H27+E28-E30</f>
        <v>1341324.2799999998</v>
      </c>
      <c r="F52" s="144">
        <f>I27+F28-F30</f>
        <v>1076887.2400000002</v>
      </c>
      <c r="G52" s="144">
        <f>G28-G30</f>
        <v>2418211.5200000014</v>
      </c>
      <c r="H52" s="144">
        <f>H28-H30</f>
        <v>1341324.2799999993</v>
      </c>
      <c r="I52" s="144">
        <f>I28-I30</f>
        <v>1076887.24</v>
      </c>
      <c r="J52" s="12"/>
    </row>
    <row r="53" spans="1:10" ht="8.25" customHeight="1">
      <c r="A53" s="23"/>
    </row>
    <row r="54" spans="1:10" ht="22.5" customHeight="1" thickBot="1">
      <c r="A54" s="24" t="s">
        <v>71</v>
      </c>
      <c r="B54" s="25"/>
      <c r="C54" s="26" t="s">
        <v>72</v>
      </c>
      <c r="D54" s="25"/>
      <c r="E54" s="26"/>
      <c r="F54" s="25"/>
      <c r="G54" s="26" t="s">
        <v>73</v>
      </c>
      <c r="H54" s="25"/>
      <c r="I54" s="25"/>
    </row>
    <row r="55" spans="1:10">
      <c r="A55" s="27"/>
      <c r="B55" s="27"/>
      <c r="C55" s="28" t="s">
        <v>74</v>
      </c>
      <c r="D55" s="27"/>
      <c r="E55" s="28" t="s">
        <v>75</v>
      </c>
      <c r="F55" s="27"/>
      <c r="G55" s="28" t="s">
        <v>76</v>
      </c>
      <c r="H55" s="29"/>
      <c r="I55" s="29"/>
    </row>
    <row r="56" spans="1:10" ht="15" customHeight="1" thickBot="1">
      <c r="A56" s="24" t="s">
        <v>77</v>
      </c>
      <c r="B56" s="25"/>
      <c r="C56" s="26"/>
      <c r="D56" s="25"/>
      <c r="E56" s="26" t="s">
        <v>78</v>
      </c>
      <c r="F56" s="25"/>
      <c r="G56" s="25"/>
      <c r="H56" s="25"/>
      <c r="I56" s="25"/>
    </row>
    <row r="57" spans="1:10">
      <c r="A57" s="29"/>
      <c r="B57" s="27"/>
      <c r="C57" s="29" t="s">
        <v>75</v>
      </c>
      <c r="D57" s="27"/>
      <c r="E57" s="29" t="s">
        <v>76</v>
      </c>
      <c r="F57" s="27"/>
      <c r="G57" s="27"/>
      <c r="H57" s="27"/>
      <c r="I57" s="27"/>
    </row>
    <row r="58" spans="1:10" ht="14.25" customHeight="1" thickBot="1">
      <c r="A58" s="24" t="s">
        <v>79</v>
      </c>
      <c r="B58" s="25"/>
      <c r="C58" s="150" t="s">
        <v>77</v>
      </c>
      <c r="D58" s="25"/>
      <c r="E58" s="30"/>
      <c r="F58" s="25"/>
      <c r="G58" s="26" t="s">
        <v>78</v>
      </c>
      <c r="H58" s="25"/>
      <c r="I58" s="26" t="s">
        <v>80</v>
      </c>
    </row>
    <row r="59" spans="1:10">
      <c r="A59" s="29"/>
      <c r="B59" s="27"/>
      <c r="C59" s="29" t="s">
        <v>74</v>
      </c>
      <c r="D59" s="27"/>
      <c r="E59" s="29" t="s">
        <v>75</v>
      </c>
      <c r="F59" s="27"/>
      <c r="G59" s="29" t="s">
        <v>76</v>
      </c>
      <c r="H59" s="27"/>
      <c r="I59" s="29" t="s">
        <v>81</v>
      </c>
    </row>
    <row r="60" spans="1:10" ht="18.75">
      <c r="A60" s="7"/>
    </row>
    <row r="61" spans="1:10" ht="18.75">
      <c r="A61" s="7"/>
    </row>
    <row r="62" spans="1:10" ht="18.75">
      <c r="A62" s="7"/>
    </row>
    <row r="63" spans="1:10" ht="18.75">
      <c r="A63" s="7"/>
    </row>
    <row r="64" spans="1:10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7" spans="1:1" ht="15.75">
      <c r="A77" s="1"/>
    </row>
    <row r="78" spans="1:1" ht="15.75">
      <c r="A78" s="1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 t="s">
        <v>6</v>
      </c>
    </row>
    <row r="84" spans="1:1" ht="15.75">
      <c r="A84" s="2" t="s">
        <v>7</v>
      </c>
    </row>
    <row r="85" spans="1:1" ht="15.75">
      <c r="A85" s="1" t="s">
        <v>83</v>
      </c>
    </row>
    <row r="86" spans="1:1" ht="18.75">
      <c r="A86" s="31"/>
    </row>
    <row r="87" spans="1:1" ht="15.75">
      <c r="A87" s="5" t="s">
        <v>84</v>
      </c>
    </row>
    <row r="88" spans="1:1" ht="15.75">
      <c r="A88" s="5" t="s">
        <v>85</v>
      </c>
    </row>
    <row r="89" spans="1:1" ht="15.75">
      <c r="A89" s="5" t="s">
        <v>86</v>
      </c>
    </row>
    <row r="90" spans="1:1" ht="15.75">
      <c r="A90" s="4"/>
    </row>
    <row r="91" spans="1:1" ht="15.75">
      <c r="A91" s="4"/>
    </row>
    <row r="92" spans="1:1" ht="15.75">
      <c r="A92" s="4" t="s">
        <v>9</v>
      </c>
    </row>
    <row r="93" spans="1:1" ht="18.75">
      <c r="A93" s="6"/>
    </row>
    <row r="94" spans="1:1" ht="15.75">
      <c r="A94" s="4" t="s">
        <v>87</v>
      </c>
    </row>
    <row r="95" spans="1:1" ht="15.75">
      <c r="A95" s="4"/>
    </row>
    <row r="96" spans="1:1" ht="18.75">
      <c r="A96" s="7"/>
    </row>
    <row r="97" spans="1:4" ht="16.5" thickBot="1">
      <c r="A97" s="4"/>
    </row>
    <row r="98" spans="1:4" ht="47.25">
      <c r="A98" s="191" t="s">
        <v>88</v>
      </c>
      <c r="B98" s="191" t="s">
        <v>89</v>
      </c>
      <c r="C98" s="32" t="s">
        <v>14</v>
      </c>
      <c r="D98" s="191" t="s">
        <v>92</v>
      </c>
    </row>
    <row r="99" spans="1:4" ht="31.5">
      <c r="A99" s="192"/>
      <c r="B99" s="192"/>
      <c r="C99" s="33" t="s">
        <v>90</v>
      </c>
      <c r="D99" s="192"/>
    </row>
    <row r="100" spans="1:4" ht="47.25">
      <c r="A100" s="192"/>
      <c r="B100" s="192"/>
      <c r="C100" s="33" t="s">
        <v>16</v>
      </c>
      <c r="D100" s="192"/>
    </row>
    <row r="101" spans="1:4" ht="47.25">
      <c r="A101" s="192"/>
      <c r="B101" s="192"/>
      <c r="C101" s="33" t="s">
        <v>17</v>
      </c>
      <c r="D101" s="192"/>
    </row>
    <row r="102" spans="1:4" ht="32.25" thickBot="1">
      <c r="A102" s="193"/>
      <c r="B102" s="193"/>
      <c r="C102" s="34" t="s">
        <v>91</v>
      </c>
      <c r="D102" s="193"/>
    </row>
    <row r="103" spans="1:4" ht="16.5" thickBot="1">
      <c r="A103" s="84">
        <v>1</v>
      </c>
      <c r="B103" s="34">
        <v>2</v>
      </c>
      <c r="C103" s="34">
        <v>3</v>
      </c>
      <c r="D103" s="34">
        <v>4</v>
      </c>
    </row>
    <row r="104" spans="1:4" ht="16.5" thickBot="1">
      <c r="A104" s="84" t="s">
        <v>24</v>
      </c>
      <c r="B104" s="83"/>
      <c r="C104" s="83"/>
      <c r="D104" s="35"/>
    </row>
    <row r="105" spans="1:4" ht="16.5" thickBot="1">
      <c r="A105" s="84" t="s">
        <v>93</v>
      </c>
      <c r="B105" s="83"/>
      <c r="C105" s="83"/>
      <c r="D105" s="35"/>
    </row>
    <row r="106" spans="1:4" ht="16.5" thickBot="1">
      <c r="A106" s="84" t="s">
        <v>94</v>
      </c>
      <c r="B106" s="83"/>
      <c r="C106" s="34"/>
      <c r="D106" s="35"/>
    </row>
    <row r="107" spans="1:4" ht="16.5" thickBot="1">
      <c r="A107" s="84"/>
      <c r="B107" s="83" t="s">
        <v>95</v>
      </c>
      <c r="C107" s="34"/>
      <c r="D107" s="35"/>
    </row>
    <row r="108" spans="1:4" ht="15.75">
      <c r="A108" s="191" t="s">
        <v>96</v>
      </c>
      <c r="B108" s="82" t="s">
        <v>97</v>
      </c>
      <c r="C108" s="191"/>
      <c r="D108" s="194"/>
    </row>
    <row r="109" spans="1:4" ht="16.5" thickBot="1">
      <c r="A109" s="193"/>
      <c r="B109" s="83" t="s">
        <v>98</v>
      </c>
      <c r="C109" s="193"/>
      <c r="D109" s="195"/>
    </row>
    <row r="110" spans="1:4" ht="15.75">
      <c r="A110" s="3"/>
    </row>
    <row r="111" spans="1:4" ht="15.75">
      <c r="A111" s="3"/>
    </row>
    <row r="112" spans="1:4" ht="15.75">
      <c r="A112" s="3"/>
    </row>
    <row r="113" spans="1:9" ht="60.75" thickBot="1">
      <c r="A113" s="37" t="s">
        <v>99</v>
      </c>
      <c r="B113" s="25"/>
      <c r="C113" s="26"/>
      <c r="D113" s="25"/>
      <c r="E113" s="26"/>
      <c r="F113" s="25"/>
      <c r="G113" s="26"/>
      <c r="H113" s="25"/>
      <c r="I113" s="25"/>
    </row>
    <row r="114" spans="1:9">
      <c r="A114" s="27"/>
      <c r="B114" s="27"/>
      <c r="C114" s="28" t="s">
        <v>74</v>
      </c>
      <c r="D114" s="27"/>
      <c r="E114" s="28" t="s">
        <v>75</v>
      </c>
      <c r="F114" s="27"/>
      <c r="G114" s="28" t="s">
        <v>76</v>
      </c>
      <c r="H114" s="29"/>
      <c r="I114" s="29"/>
    </row>
    <row r="115" spans="1:9" ht="24.75" thickBot="1">
      <c r="A115" s="24" t="s">
        <v>77</v>
      </c>
      <c r="B115" s="25"/>
      <c r="C115" s="26"/>
      <c r="D115" s="25"/>
      <c r="E115" s="26"/>
      <c r="F115" s="25"/>
      <c r="G115" s="25"/>
      <c r="H115" s="25"/>
      <c r="I115" s="25"/>
    </row>
    <row r="116" spans="1:9">
      <c r="A116" s="29"/>
      <c r="B116" s="27"/>
      <c r="C116" s="29" t="s">
        <v>75</v>
      </c>
      <c r="D116" s="27"/>
      <c r="E116" s="29" t="s">
        <v>76</v>
      </c>
      <c r="F116" s="27"/>
      <c r="G116" s="27"/>
      <c r="H116" s="27"/>
      <c r="I116" s="27"/>
    </row>
    <row r="117" spans="1:9" ht="24.75" thickBot="1">
      <c r="A117" s="24" t="s">
        <v>79</v>
      </c>
      <c r="B117" s="25"/>
      <c r="C117" s="30"/>
      <c r="D117" s="25"/>
      <c r="E117" s="30"/>
      <c r="F117" s="25"/>
      <c r="G117" s="26"/>
      <c r="H117" s="25"/>
      <c r="I117" s="26"/>
    </row>
    <row r="118" spans="1:9">
      <c r="A118" s="29"/>
      <c r="B118" s="27"/>
      <c r="C118" s="29" t="s">
        <v>74</v>
      </c>
      <c r="D118" s="27"/>
      <c r="E118" s="29" t="s">
        <v>75</v>
      </c>
      <c r="F118" s="27"/>
      <c r="G118" s="29" t="s">
        <v>76</v>
      </c>
      <c r="H118" s="27"/>
      <c r="I118" s="29" t="s">
        <v>81</v>
      </c>
    </row>
    <row r="119" spans="1:9" ht="18.75">
      <c r="A119" s="7"/>
    </row>
    <row r="120" spans="1:9" ht="18.75">
      <c r="A120" s="7"/>
    </row>
    <row r="121" spans="1:9" ht="18.75">
      <c r="A121" s="7"/>
    </row>
    <row r="122" spans="1:9" ht="18.75">
      <c r="A122" s="7"/>
    </row>
    <row r="123" spans="1:9" ht="18.75">
      <c r="A123" s="7"/>
    </row>
  </sheetData>
  <mergeCells count="23">
    <mergeCell ref="D20:D24"/>
    <mergeCell ref="E20:F22"/>
    <mergeCell ref="G20:G24"/>
    <mergeCell ref="H20:I23"/>
    <mergeCell ref="J20:J22"/>
    <mergeCell ref="E23:E24"/>
    <mergeCell ref="F23:F24"/>
    <mergeCell ref="I28:I29"/>
    <mergeCell ref="J28:J29"/>
    <mergeCell ref="A98:A102"/>
    <mergeCell ref="B98:B102"/>
    <mergeCell ref="D98:D102"/>
    <mergeCell ref="A28:A29"/>
    <mergeCell ref="B28:B29"/>
    <mergeCell ref="C28:C29"/>
    <mergeCell ref="D28:D29"/>
    <mergeCell ref="E28:E29"/>
    <mergeCell ref="F28:F29"/>
    <mergeCell ref="A108:A109"/>
    <mergeCell ref="C108:C109"/>
    <mergeCell ref="D108:D109"/>
    <mergeCell ref="G28:G29"/>
    <mergeCell ref="H28:H29"/>
  </mergeCells>
  <pageMargins left="0.7" right="0.7" top="0.75" bottom="0.75" header="0.3" footer="0.3"/>
  <pageSetup paperSize="9" scale="5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23"/>
  <sheetViews>
    <sheetView topLeftCell="A61" workbookViewId="0">
      <selection activeCell="A77" sqref="A77:A84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3.5703125" customWidth="1"/>
    <col min="7" max="7" width="18.85546875" customWidth="1"/>
    <col min="8" max="8" width="23.7109375" customWidth="1"/>
    <col min="9" max="9" width="26.5703125" customWidth="1"/>
    <col min="10" max="10" width="36.28515625" customWidth="1"/>
  </cols>
  <sheetData>
    <row r="1" spans="1:8" ht="23.25">
      <c r="G1" s="77" t="s">
        <v>114</v>
      </c>
    </row>
    <row r="2" spans="1:8" ht="15.75">
      <c r="A2" s="69"/>
      <c r="B2" s="43"/>
      <c r="C2" s="43"/>
      <c r="D2" s="43"/>
      <c r="E2" s="43"/>
      <c r="F2" s="43"/>
      <c r="G2" s="69" t="s">
        <v>0</v>
      </c>
      <c r="H2" s="69"/>
    </row>
    <row r="3" spans="1:8" ht="15.75">
      <c r="A3" s="69"/>
      <c r="B3" s="43"/>
      <c r="C3" s="43"/>
      <c r="D3" s="43"/>
      <c r="E3" s="43"/>
      <c r="F3" s="43"/>
      <c r="G3" s="69" t="s">
        <v>1</v>
      </c>
      <c r="H3" s="69"/>
    </row>
    <row r="4" spans="1:8" ht="15.75">
      <c r="A4" s="69"/>
      <c r="B4" s="43"/>
      <c r="C4" s="43"/>
      <c r="D4" s="43"/>
      <c r="E4" s="43"/>
      <c r="F4" s="43"/>
      <c r="G4" s="69" t="s">
        <v>2</v>
      </c>
      <c r="H4" s="69"/>
    </row>
    <row r="5" spans="1:8" ht="15.75">
      <c r="A5" s="69"/>
      <c r="B5" s="43"/>
      <c r="C5" s="43"/>
      <c r="D5" s="43"/>
      <c r="E5" s="43"/>
      <c r="F5" s="43"/>
      <c r="G5" s="69" t="s">
        <v>3</v>
      </c>
      <c r="H5" s="69"/>
    </row>
    <row r="6" spans="1:8" ht="15.75">
      <c r="A6" s="69"/>
      <c r="B6" s="43"/>
      <c r="C6" s="43"/>
      <c r="D6" s="43"/>
      <c r="E6" s="43"/>
      <c r="F6" s="43"/>
      <c r="G6" s="69" t="s">
        <v>4</v>
      </c>
      <c r="H6" s="69"/>
    </row>
    <row r="7" spans="1:8" ht="15.75">
      <c r="A7" s="69"/>
      <c r="B7" s="43"/>
      <c r="C7" s="43"/>
      <c r="D7" s="43"/>
      <c r="E7" s="43"/>
      <c r="F7" s="43"/>
      <c r="G7" s="69" t="s">
        <v>5</v>
      </c>
      <c r="H7" s="69"/>
    </row>
    <row r="8" spans="1:8" ht="15.75">
      <c r="A8" s="69"/>
      <c r="B8" s="43"/>
      <c r="C8" s="43"/>
      <c r="D8" s="43"/>
      <c r="E8" s="43"/>
      <c r="F8" s="43"/>
      <c r="G8" s="69" t="s">
        <v>6</v>
      </c>
      <c r="H8" s="69"/>
    </row>
    <row r="9" spans="1:8" ht="15.75">
      <c r="A9" s="44"/>
      <c r="B9" s="43"/>
      <c r="C9" s="43"/>
      <c r="D9" s="43"/>
      <c r="E9" s="43"/>
      <c r="F9" s="43"/>
      <c r="G9" s="44" t="s">
        <v>7</v>
      </c>
      <c r="H9" s="44"/>
    </row>
    <row r="10" spans="1:8" ht="15.75">
      <c r="A10" s="69"/>
      <c r="B10" s="43"/>
      <c r="C10" s="43"/>
      <c r="D10" s="43"/>
      <c r="E10" s="43"/>
      <c r="F10" s="43"/>
      <c r="G10" s="69" t="s">
        <v>8</v>
      </c>
      <c r="H10" s="69"/>
    </row>
    <row r="11" spans="1:8" ht="15.75">
      <c r="A11" s="45"/>
      <c r="B11" s="43"/>
      <c r="C11" s="43"/>
      <c r="D11" s="43"/>
      <c r="E11" s="43"/>
      <c r="F11" s="43"/>
      <c r="G11" s="43"/>
      <c r="H11" s="43"/>
    </row>
    <row r="12" spans="1:8" ht="18.75">
      <c r="A12" s="47"/>
      <c r="B12" s="49" t="s">
        <v>101</v>
      </c>
      <c r="C12" s="49"/>
      <c r="D12" s="49"/>
      <c r="E12" s="48"/>
      <c r="F12" s="48"/>
      <c r="G12" s="48"/>
      <c r="H12" s="48"/>
    </row>
    <row r="13" spans="1:8" ht="15.75">
      <c r="A13" s="43"/>
      <c r="B13" s="50" t="s">
        <v>100</v>
      </c>
      <c r="C13" s="51"/>
      <c r="D13" s="51"/>
      <c r="E13" s="51"/>
      <c r="F13" s="43"/>
      <c r="G13" s="43"/>
      <c r="H13" s="43"/>
    </row>
    <row r="14" spans="1:8" ht="15.75">
      <c r="A14" s="45"/>
      <c r="B14" s="43"/>
      <c r="C14" s="43"/>
      <c r="D14" s="43"/>
      <c r="E14" s="43"/>
      <c r="F14" s="43"/>
      <c r="G14" s="43"/>
      <c r="H14" s="43"/>
    </row>
    <row r="15" spans="1:8" ht="18.75">
      <c r="A15" s="46"/>
      <c r="B15" s="51" t="s">
        <v>121</v>
      </c>
      <c r="C15" s="43"/>
      <c r="D15" s="43"/>
      <c r="E15" s="43"/>
      <c r="F15" s="43"/>
      <c r="G15" s="43"/>
      <c r="H15" s="43"/>
    </row>
    <row r="16" spans="1:8" ht="18.75">
      <c r="A16" s="6"/>
    </row>
    <row r="17" spans="1:10" ht="1.5" customHeight="1" thickBot="1">
      <c r="A17" s="4"/>
    </row>
    <row r="18" spans="1:10" ht="16.5" hidden="1" thickBot="1">
      <c r="A18" s="4"/>
    </row>
    <row r="19" spans="1:10" ht="19.5" hidden="1" thickBot="1">
      <c r="A19" s="7"/>
    </row>
    <row r="20" spans="1:10" ht="47.25">
      <c r="A20" s="78" t="s">
        <v>10</v>
      </c>
      <c r="B20" s="81" t="s">
        <v>12</v>
      </c>
      <c r="C20" s="81" t="s">
        <v>14</v>
      </c>
      <c r="D20" s="179" t="s">
        <v>19</v>
      </c>
      <c r="E20" s="182" t="s">
        <v>20</v>
      </c>
      <c r="F20" s="183"/>
      <c r="G20" s="179" t="s">
        <v>21</v>
      </c>
      <c r="H20" s="182" t="s">
        <v>20</v>
      </c>
      <c r="I20" s="183"/>
      <c r="J20" s="188"/>
    </row>
    <row r="21" spans="1:10" ht="31.5">
      <c r="A21" s="79" t="s">
        <v>11</v>
      </c>
      <c r="B21" s="82" t="s">
        <v>13</v>
      </c>
      <c r="C21" s="82" t="s">
        <v>15</v>
      </c>
      <c r="D21" s="180"/>
      <c r="E21" s="184"/>
      <c r="F21" s="185"/>
      <c r="G21" s="180"/>
      <c r="H21" s="184"/>
      <c r="I21" s="185"/>
      <c r="J21" s="188"/>
    </row>
    <row r="22" spans="1:10" ht="48" thickBot="1">
      <c r="A22" s="8"/>
      <c r="B22" s="10"/>
      <c r="C22" s="82" t="s">
        <v>16</v>
      </c>
      <c r="D22" s="180"/>
      <c r="E22" s="186"/>
      <c r="F22" s="187"/>
      <c r="G22" s="180"/>
      <c r="H22" s="184"/>
      <c r="I22" s="185"/>
      <c r="J22" s="188"/>
    </row>
    <row r="23" spans="1:10" ht="48" thickBot="1">
      <c r="A23" s="8"/>
      <c r="B23" s="10"/>
      <c r="C23" s="82" t="s">
        <v>17</v>
      </c>
      <c r="D23" s="180"/>
      <c r="E23" s="179" t="s">
        <v>22</v>
      </c>
      <c r="F23" s="179" t="s">
        <v>23</v>
      </c>
      <c r="G23" s="180"/>
      <c r="H23" s="186"/>
      <c r="I23" s="187"/>
      <c r="J23" s="12"/>
    </row>
    <row r="24" spans="1:10" ht="32.25" thickBot="1">
      <c r="A24" s="9"/>
      <c r="B24" s="11"/>
      <c r="C24" s="83" t="s">
        <v>18</v>
      </c>
      <c r="D24" s="181"/>
      <c r="E24" s="181"/>
      <c r="F24" s="181"/>
      <c r="G24" s="181"/>
      <c r="H24" s="83" t="s">
        <v>22</v>
      </c>
      <c r="I24" s="83" t="s">
        <v>23</v>
      </c>
      <c r="J24" s="12"/>
    </row>
    <row r="25" spans="1:10" ht="16.5" thickBot="1">
      <c r="A25" s="80">
        <v>1</v>
      </c>
      <c r="B25" s="83">
        <v>2</v>
      </c>
      <c r="C25" s="83">
        <v>3</v>
      </c>
      <c r="D25" s="83">
        <v>4</v>
      </c>
      <c r="E25" s="83"/>
      <c r="F25" s="83"/>
      <c r="G25" s="83"/>
      <c r="H25" s="83">
        <v>5</v>
      </c>
      <c r="I25" s="83">
        <v>6</v>
      </c>
      <c r="J25" s="12"/>
    </row>
    <row r="26" spans="1:10" ht="29.25" customHeight="1" thickBot="1">
      <c r="A26" s="80" t="s">
        <v>24</v>
      </c>
      <c r="B26" s="144" t="s">
        <v>105</v>
      </c>
      <c r="C26" s="144" t="s">
        <v>26</v>
      </c>
      <c r="D26" s="147">
        <f>E26+F26</f>
        <v>3908203</v>
      </c>
      <c r="E26" s="147">
        <v>3389380</v>
      </c>
      <c r="F26" s="147">
        <v>518823</v>
      </c>
      <c r="G26" s="147">
        <f>H26+I26</f>
        <v>46929434</v>
      </c>
      <c r="H26" s="147">
        <v>40672557</v>
      </c>
      <c r="I26" s="147">
        <v>6256877</v>
      </c>
      <c r="J26" s="12"/>
    </row>
    <row r="27" spans="1:10" ht="38.25" customHeight="1" thickBot="1">
      <c r="A27" s="80" t="s">
        <v>27</v>
      </c>
      <c r="B27" s="144" t="s">
        <v>28</v>
      </c>
      <c r="C27" s="144" t="s">
        <v>29</v>
      </c>
      <c r="D27" s="147">
        <f>E27+F27</f>
        <v>2418211.52</v>
      </c>
      <c r="E27" s="147">
        <v>1341324.28</v>
      </c>
      <c r="F27" s="147">
        <v>1076887.24</v>
      </c>
      <c r="G27" s="147">
        <f>H27+I27</f>
        <v>2418211.52</v>
      </c>
      <c r="H27" s="147">
        <v>1341324.28</v>
      </c>
      <c r="I27" s="147">
        <v>1076887.24</v>
      </c>
      <c r="J27" s="12"/>
    </row>
    <row r="28" spans="1:10" ht="27" customHeight="1">
      <c r="A28" s="179" t="s">
        <v>30</v>
      </c>
      <c r="B28" s="204" t="s">
        <v>31</v>
      </c>
      <c r="C28" s="204" t="s">
        <v>32</v>
      </c>
      <c r="D28" s="202">
        <f>E28+F28</f>
        <v>8114505.4500000002</v>
      </c>
      <c r="E28" s="202">
        <f>7228492.28+129279.34+8157.83+26240+40000+42336+20000</f>
        <v>7494505.4500000002</v>
      </c>
      <c r="F28" s="202">
        <v>620000</v>
      </c>
      <c r="G28" s="202">
        <f>H28+I28</f>
        <v>21984388.670000002</v>
      </c>
      <c r="H28" s="202">
        <f>8686831.3+3107051.92+7494505.45</f>
        <v>19288388.670000002</v>
      </c>
      <c r="I28" s="202">
        <f>519000+519000+519000+519000+620000</f>
        <v>2696000</v>
      </c>
      <c r="J28" s="188"/>
    </row>
    <row r="29" spans="1:10" ht="24" customHeight="1" thickBot="1">
      <c r="A29" s="181"/>
      <c r="B29" s="205"/>
      <c r="C29" s="205"/>
      <c r="D29" s="203"/>
      <c r="E29" s="203"/>
      <c r="F29" s="203"/>
      <c r="G29" s="203"/>
      <c r="H29" s="203"/>
      <c r="I29" s="203"/>
      <c r="J29" s="188"/>
    </row>
    <row r="30" spans="1:10" ht="47.25" customHeight="1" thickBot="1">
      <c r="A30" s="145" t="s">
        <v>33</v>
      </c>
      <c r="B30" s="146" t="s">
        <v>34</v>
      </c>
      <c r="C30" s="146">
        <v>900</v>
      </c>
      <c r="D30" s="149">
        <f>E30+F30</f>
        <v>4146279.04</v>
      </c>
      <c r="E30" s="149">
        <f t="shared" ref="E30:I30" si="0">E32+E37+E44+E47+E48</f>
        <v>3808361.84</v>
      </c>
      <c r="F30" s="149">
        <f t="shared" si="0"/>
        <v>337917.19999999995</v>
      </c>
      <c r="G30" s="149">
        <f t="shared" si="0"/>
        <v>15597950.74</v>
      </c>
      <c r="H30" s="149">
        <f t="shared" si="0"/>
        <v>14260920.780000001</v>
      </c>
      <c r="I30" s="149">
        <f t="shared" si="0"/>
        <v>1337029.96</v>
      </c>
      <c r="J30" s="12"/>
    </row>
    <row r="31" spans="1:10" ht="16.5" thickBot="1">
      <c r="A31" s="143"/>
      <c r="B31" s="144" t="s">
        <v>35</v>
      </c>
      <c r="C31" s="144"/>
      <c r="D31" s="144"/>
      <c r="E31" s="144"/>
      <c r="F31" s="144"/>
      <c r="G31" s="144"/>
      <c r="H31" s="144"/>
      <c r="I31" s="144"/>
      <c r="J31" s="12"/>
    </row>
    <row r="32" spans="1:10" ht="32.25" thickBot="1">
      <c r="A32" s="143" t="s">
        <v>36</v>
      </c>
      <c r="B32" s="144" t="s">
        <v>37</v>
      </c>
      <c r="C32" s="144">
        <v>210</v>
      </c>
      <c r="D32" s="147">
        <f>D34+D35+D36</f>
        <v>3882371.45</v>
      </c>
      <c r="E32" s="147">
        <f>E34+E35+E36</f>
        <v>3702043.92</v>
      </c>
      <c r="F32" s="147">
        <f>F34+F35+F36</f>
        <v>180327.53</v>
      </c>
      <c r="G32" s="147">
        <f t="shared" ref="G32:I32" si="1">G34+G35+G36</f>
        <v>14720091.840000002</v>
      </c>
      <c r="H32" s="147">
        <f t="shared" si="1"/>
        <v>13947136.510000002</v>
      </c>
      <c r="I32" s="147">
        <f t="shared" si="1"/>
        <v>772955.33000000007</v>
      </c>
      <c r="J32" s="12"/>
    </row>
    <row r="33" spans="1:10" ht="16.5" thickBot="1">
      <c r="A33" s="80"/>
      <c r="B33" s="144" t="s">
        <v>38</v>
      </c>
      <c r="C33" s="144"/>
      <c r="D33" s="144"/>
      <c r="E33" s="144"/>
      <c r="F33" s="144"/>
      <c r="G33" s="144"/>
      <c r="H33" s="144"/>
      <c r="I33" s="144"/>
      <c r="J33" s="12"/>
    </row>
    <row r="34" spans="1:10" ht="16.5" thickBot="1">
      <c r="A34" s="80" t="s">
        <v>39</v>
      </c>
      <c r="B34" s="144" t="s">
        <v>40</v>
      </c>
      <c r="C34" s="144">
        <v>211</v>
      </c>
      <c r="D34" s="144">
        <f>E34+F34</f>
        <v>3122067.23</v>
      </c>
      <c r="E34" s="144">
        <v>3012349.87</v>
      </c>
      <c r="F34" s="144">
        <v>109717.36</v>
      </c>
      <c r="G34" s="144">
        <f>H34+I34</f>
        <v>11999729.750000002</v>
      </c>
      <c r="H34" s="144">
        <f>6147588.65+2287288.7+3012349.87</f>
        <v>11447227.220000003</v>
      </c>
      <c r="I34" s="144">
        <f>33000+85172.82+196220.88+128391.47+109717.36</f>
        <v>552502.53</v>
      </c>
      <c r="J34" s="12"/>
    </row>
    <row r="35" spans="1:10" ht="16.5" thickBot="1">
      <c r="A35" s="80" t="s">
        <v>41</v>
      </c>
      <c r="B35" s="144" t="s">
        <v>42</v>
      </c>
      <c r="C35" s="144">
        <v>212</v>
      </c>
      <c r="D35" s="144">
        <f>E35+F35</f>
        <v>5400</v>
      </c>
      <c r="E35" s="144"/>
      <c r="F35" s="144">
        <v>5400</v>
      </c>
      <c r="G35" s="144">
        <f>H35+I35</f>
        <v>27800</v>
      </c>
      <c r="H35" s="144"/>
      <c r="I35" s="144">
        <f>5600+11200+5600+5400</f>
        <v>27800</v>
      </c>
      <c r="J35" s="12"/>
    </row>
    <row r="36" spans="1:10" ht="16.5" thickBot="1">
      <c r="A36" s="80" t="s">
        <v>43</v>
      </c>
      <c r="B36" s="144" t="s">
        <v>44</v>
      </c>
      <c r="C36" s="144">
        <v>213</v>
      </c>
      <c r="D36" s="144">
        <f>E36+F36</f>
        <v>754904.22000000009</v>
      </c>
      <c r="E36" s="144">
        <v>689694.05</v>
      </c>
      <c r="F36" s="144">
        <v>65210.17</v>
      </c>
      <c r="G36" s="144">
        <f>H36+I36</f>
        <v>2692562.09</v>
      </c>
      <c r="H36" s="144">
        <f>666887.56+1143327.68+689694.05</f>
        <v>2499909.29</v>
      </c>
      <c r="I36" s="144">
        <f>44313.27+83129.36+65210.17</f>
        <v>192652.79999999999</v>
      </c>
      <c r="J36" s="12"/>
    </row>
    <row r="37" spans="1:10" ht="16.5" thickBot="1">
      <c r="A37" s="80" t="s">
        <v>45</v>
      </c>
      <c r="B37" s="144" t="s">
        <v>46</v>
      </c>
      <c r="C37" s="147">
        <v>220</v>
      </c>
      <c r="D37" s="147">
        <f>E37+F37</f>
        <v>145531.69</v>
      </c>
      <c r="E37" s="147">
        <f>E38+E39+E40+E41+E42+E43</f>
        <v>0</v>
      </c>
      <c r="F37" s="147">
        <f>F38+F39+F40+F41+F42+F43</f>
        <v>145531.69</v>
      </c>
      <c r="G37" s="147">
        <f>G39+G40+G41+G42+G43</f>
        <v>475887.53</v>
      </c>
      <c r="H37" s="147">
        <f>H39+H40+H41+H42+H43</f>
        <v>0</v>
      </c>
      <c r="I37" s="147">
        <f>I39+I40+I41+I42+I43</f>
        <v>475887.53</v>
      </c>
      <c r="J37" s="12"/>
    </row>
    <row r="38" spans="1:10" ht="16.5" thickBot="1">
      <c r="A38" s="80"/>
      <c r="B38" s="144" t="s">
        <v>38</v>
      </c>
      <c r="C38" s="144"/>
      <c r="D38" s="144"/>
      <c r="E38" s="144"/>
      <c r="F38" s="144"/>
      <c r="G38" s="144"/>
      <c r="H38" s="144"/>
      <c r="I38" s="144"/>
      <c r="J38" s="12"/>
    </row>
    <row r="39" spans="1:10" ht="16.5" thickBot="1">
      <c r="A39" s="80" t="s">
        <v>47</v>
      </c>
      <c r="B39" s="144" t="s">
        <v>48</v>
      </c>
      <c r="C39" s="144">
        <v>221</v>
      </c>
      <c r="D39" s="144">
        <f>E39+F39</f>
        <v>2433.71</v>
      </c>
      <c r="E39" s="144"/>
      <c r="F39" s="144">
        <v>2433.71</v>
      </c>
      <c r="G39" s="144">
        <f>H39+I39</f>
        <v>7827.17</v>
      </c>
      <c r="H39" s="144"/>
      <c r="I39" s="144">
        <f>2965.06+2428.4+2433.71</f>
        <v>7827.17</v>
      </c>
      <c r="J39" s="12"/>
    </row>
    <row r="40" spans="1:10" ht="26.25" customHeight="1" thickBot="1">
      <c r="A40" s="80" t="s">
        <v>49</v>
      </c>
      <c r="B40" s="144" t="s">
        <v>50</v>
      </c>
      <c r="C40" s="144">
        <v>222</v>
      </c>
      <c r="D40" s="144">
        <f t="shared" ref="D40:D43" si="2">E40+F40</f>
        <v>0</v>
      </c>
      <c r="E40" s="144"/>
      <c r="F40" s="144"/>
      <c r="G40" s="144">
        <f>H40+I40</f>
        <v>0</v>
      </c>
      <c r="H40" s="144"/>
      <c r="I40" s="144"/>
      <c r="J40" s="12"/>
    </row>
    <row r="41" spans="1:10" ht="29.25" customHeight="1" thickBot="1">
      <c r="A41" s="80" t="s">
        <v>51</v>
      </c>
      <c r="B41" s="144" t="s">
        <v>52</v>
      </c>
      <c r="C41" s="144">
        <v>223</v>
      </c>
      <c r="D41" s="144">
        <f t="shared" si="2"/>
        <v>44617.42</v>
      </c>
      <c r="E41" s="144"/>
      <c r="F41" s="144">
        <v>44617.42</v>
      </c>
      <c r="G41" s="144">
        <f>H41+I41</f>
        <v>165736</v>
      </c>
      <c r="H41" s="144"/>
      <c r="I41" s="144">
        <f>88934.39+32184.19+44617.42</f>
        <v>165736</v>
      </c>
      <c r="J41" s="12"/>
    </row>
    <row r="42" spans="1:10" ht="16.5" thickBot="1">
      <c r="A42" s="80" t="s">
        <v>53</v>
      </c>
      <c r="B42" s="144" t="s">
        <v>54</v>
      </c>
      <c r="C42" s="144">
        <v>225</v>
      </c>
      <c r="D42" s="144">
        <f t="shared" si="2"/>
        <v>50021.36</v>
      </c>
      <c r="E42" s="144"/>
      <c r="F42" s="144">
        <v>50021.36</v>
      </c>
      <c r="G42" s="144">
        <f>H42+I42</f>
        <v>152226.87</v>
      </c>
      <c r="H42" s="144"/>
      <c r="I42" s="144">
        <f>75980.5+26225.01+50021.36</f>
        <v>152226.87</v>
      </c>
      <c r="J42" s="12"/>
    </row>
    <row r="43" spans="1:10" ht="30" customHeight="1" thickBot="1">
      <c r="A43" s="80" t="s">
        <v>55</v>
      </c>
      <c r="B43" s="144" t="s">
        <v>56</v>
      </c>
      <c r="C43" s="144">
        <v>226</v>
      </c>
      <c r="D43" s="144">
        <f t="shared" si="2"/>
        <v>48459.199999999997</v>
      </c>
      <c r="E43" s="144"/>
      <c r="F43" s="144">
        <v>48459.199999999997</v>
      </c>
      <c r="G43" s="144">
        <f>H43+I43</f>
        <v>150097.49</v>
      </c>
      <c r="H43" s="144"/>
      <c r="I43" s="144">
        <f>16491.07+19937.75+24154.87+41054.6+48459.2</f>
        <v>150097.49</v>
      </c>
      <c r="J43" s="12"/>
    </row>
    <row r="44" spans="1:10" ht="16.5" thickBot="1">
      <c r="A44" s="80" t="s">
        <v>57</v>
      </c>
      <c r="B44" s="144" t="s">
        <v>58</v>
      </c>
      <c r="C44" s="147">
        <v>260</v>
      </c>
      <c r="D44" s="147">
        <f t="shared" ref="D44:G44" si="3">D46</f>
        <v>0</v>
      </c>
      <c r="E44" s="147"/>
      <c r="F44" s="147"/>
      <c r="G44" s="147">
        <f t="shared" si="3"/>
        <v>0</v>
      </c>
      <c r="H44" s="147"/>
      <c r="I44" s="147"/>
      <c r="J44" s="12"/>
    </row>
    <row r="45" spans="1:10" ht="16.5" thickBot="1">
      <c r="A45" s="80"/>
      <c r="B45" s="144" t="s">
        <v>38</v>
      </c>
      <c r="C45" s="144"/>
      <c r="D45" s="144"/>
      <c r="E45" s="144"/>
      <c r="F45" s="144"/>
      <c r="G45" s="144"/>
      <c r="H45" s="144"/>
      <c r="I45" s="144"/>
      <c r="J45" s="12"/>
    </row>
    <row r="46" spans="1:10" ht="16.5" thickBot="1">
      <c r="A46" s="80" t="s">
        <v>59</v>
      </c>
      <c r="B46" s="144" t="s">
        <v>60</v>
      </c>
      <c r="C46" s="144">
        <v>262</v>
      </c>
      <c r="D46" s="144"/>
      <c r="E46" s="144"/>
      <c r="F46" s="144"/>
      <c r="G46" s="144"/>
      <c r="H46" s="144"/>
      <c r="I46" s="144"/>
      <c r="J46" s="12"/>
    </row>
    <row r="47" spans="1:10" ht="38.25" customHeight="1" thickBot="1">
      <c r="A47" s="80" t="s">
        <v>61</v>
      </c>
      <c r="B47" s="144" t="s">
        <v>62</v>
      </c>
      <c r="C47" s="147">
        <v>290</v>
      </c>
      <c r="D47" s="147">
        <f>E47+F47</f>
        <v>7542.98</v>
      </c>
      <c r="E47" s="147"/>
      <c r="F47" s="147">
        <v>7542.98</v>
      </c>
      <c r="G47" s="147">
        <f>H47+I47</f>
        <v>11873.43</v>
      </c>
      <c r="H47" s="147"/>
      <c r="I47" s="147">
        <f>4330.45+7542.98</f>
        <v>11873.43</v>
      </c>
      <c r="J47" s="12"/>
    </row>
    <row r="48" spans="1:10" ht="33" customHeight="1" thickBot="1">
      <c r="A48" s="80" t="s">
        <v>63</v>
      </c>
      <c r="B48" s="144" t="s">
        <v>64</v>
      </c>
      <c r="C48" s="147">
        <v>300</v>
      </c>
      <c r="D48" s="147">
        <f t="shared" ref="D48:I48" si="4">D50+D51</f>
        <v>110832.92</v>
      </c>
      <c r="E48" s="147">
        <f t="shared" si="4"/>
        <v>106317.92</v>
      </c>
      <c r="F48" s="147">
        <f>F50+F51</f>
        <v>4515</v>
      </c>
      <c r="G48" s="147">
        <f t="shared" si="4"/>
        <v>390097.94</v>
      </c>
      <c r="H48" s="147">
        <f t="shared" si="4"/>
        <v>313784.27</v>
      </c>
      <c r="I48" s="147">
        <f t="shared" si="4"/>
        <v>76313.67</v>
      </c>
      <c r="J48" s="12"/>
    </row>
    <row r="49" spans="1:10" ht="16.5" thickBot="1">
      <c r="A49" s="80"/>
      <c r="B49" s="144" t="s">
        <v>38</v>
      </c>
      <c r="C49" s="144"/>
      <c r="D49" s="144"/>
      <c r="E49" s="144"/>
      <c r="F49" s="144"/>
      <c r="G49" s="144"/>
      <c r="H49" s="144"/>
      <c r="I49" s="144"/>
      <c r="J49" s="12"/>
    </row>
    <row r="50" spans="1:10" ht="16.5" thickBot="1">
      <c r="A50" s="80" t="s">
        <v>65</v>
      </c>
      <c r="B50" s="144" t="s">
        <v>66</v>
      </c>
      <c r="C50" s="144">
        <v>310</v>
      </c>
      <c r="D50" s="144">
        <f>E50+F50</f>
        <v>86317.92</v>
      </c>
      <c r="E50" s="144">
        <v>86317.92</v>
      </c>
      <c r="F50" s="144"/>
      <c r="G50" s="144">
        <f>H50+I50</f>
        <v>260574.27000000002</v>
      </c>
      <c r="H50" s="144">
        <f>115940.23+49806.12+86317.92</f>
        <v>252064.27000000002</v>
      </c>
      <c r="I50" s="144">
        <f>-390+8900</f>
        <v>8510</v>
      </c>
      <c r="J50" s="12"/>
    </row>
    <row r="51" spans="1:10" ht="16.5" thickBot="1">
      <c r="A51" s="80" t="s">
        <v>67</v>
      </c>
      <c r="B51" s="144" t="s">
        <v>68</v>
      </c>
      <c r="C51" s="144">
        <v>340</v>
      </c>
      <c r="D51" s="144">
        <f>E51+F51</f>
        <v>24515</v>
      </c>
      <c r="E51" s="144">
        <v>20000</v>
      </c>
      <c r="F51" s="144">
        <v>4515</v>
      </c>
      <c r="G51" s="144">
        <f>H51+I51</f>
        <v>129523.67</v>
      </c>
      <c r="H51" s="144">
        <f>41720+20000</f>
        <v>61720</v>
      </c>
      <c r="I51" s="144">
        <f>63288.67+4515</f>
        <v>67803.67</v>
      </c>
      <c r="J51" s="12"/>
    </row>
    <row r="52" spans="1:10" ht="32.25" thickBot="1">
      <c r="A52" s="15" t="s">
        <v>69</v>
      </c>
      <c r="B52" s="144" t="s">
        <v>70</v>
      </c>
      <c r="C52" s="144" t="s">
        <v>26</v>
      </c>
      <c r="D52" s="144">
        <f>G27+D28-D30</f>
        <v>6386437.9300000006</v>
      </c>
      <c r="E52" s="144">
        <f>H27+E28-E30</f>
        <v>5027467.8900000006</v>
      </c>
      <c r="F52" s="144">
        <f>I27+F28-F30</f>
        <v>1358970.04</v>
      </c>
      <c r="G52" s="144">
        <f>G28-G30</f>
        <v>6386437.9300000016</v>
      </c>
      <c r="H52" s="144">
        <f>H28-H30</f>
        <v>5027467.8900000006</v>
      </c>
      <c r="I52" s="144">
        <f>I28-I30</f>
        <v>1358970.04</v>
      </c>
      <c r="J52" s="12"/>
    </row>
    <row r="53" spans="1:10" ht="8.25" customHeight="1">
      <c r="A53" s="23"/>
    </row>
    <row r="54" spans="1:10" ht="24.75" customHeight="1" thickBot="1">
      <c r="A54" s="24" t="s">
        <v>71</v>
      </c>
      <c r="B54" s="25"/>
      <c r="C54" s="26" t="s">
        <v>72</v>
      </c>
      <c r="D54" s="25"/>
      <c r="E54" s="26"/>
      <c r="F54" s="25"/>
      <c r="G54" s="26" t="s">
        <v>73</v>
      </c>
      <c r="H54" s="25"/>
      <c r="I54" s="25"/>
    </row>
    <row r="55" spans="1:10">
      <c r="A55" s="27"/>
      <c r="B55" s="27"/>
      <c r="C55" s="28" t="s">
        <v>74</v>
      </c>
      <c r="D55" s="27"/>
      <c r="E55" s="28" t="s">
        <v>75</v>
      </c>
      <c r="F55" s="27"/>
      <c r="G55" s="28" t="s">
        <v>76</v>
      </c>
      <c r="H55" s="29"/>
      <c r="I55" s="29"/>
    </row>
    <row r="56" spans="1:10" ht="22.5" customHeight="1" thickBot="1">
      <c r="A56" s="24" t="s">
        <v>77</v>
      </c>
      <c r="B56" s="25"/>
      <c r="C56" s="26"/>
      <c r="D56" s="25"/>
      <c r="E56" s="26" t="s">
        <v>78</v>
      </c>
      <c r="F56" s="25"/>
      <c r="G56" s="25"/>
      <c r="H56" s="25"/>
      <c r="I56" s="25"/>
    </row>
    <row r="57" spans="1:10">
      <c r="A57" s="29"/>
      <c r="B57" s="27"/>
      <c r="C57" s="29" t="s">
        <v>75</v>
      </c>
      <c r="D57" s="27"/>
      <c r="E57" s="29" t="s">
        <v>76</v>
      </c>
      <c r="F57" s="27"/>
      <c r="G57" s="27"/>
      <c r="H57" s="27"/>
      <c r="I57" s="27"/>
    </row>
    <row r="58" spans="1:10" ht="24.75" thickBot="1">
      <c r="A58" s="24" t="s">
        <v>79</v>
      </c>
      <c r="B58" s="25"/>
      <c r="C58" s="30" t="s">
        <v>77</v>
      </c>
      <c r="D58" s="25"/>
      <c r="E58" s="30"/>
      <c r="F58" s="25"/>
      <c r="G58" s="26" t="s">
        <v>78</v>
      </c>
      <c r="H58" s="25"/>
      <c r="I58" s="26" t="s">
        <v>80</v>
      </c>
    </row>
    <row r="59" spans="1:10">
      <c r="A59" s="29"/>
      <c r="B59" s="27"/>
      <c r="C59" s="29" t="s">
        <v>74</v>
      </c>
      <c r="D59" s="27"/>
      <c r="E59" s="29" t="s">
        <v>75</v>
      </c>
      <c r="F59" s="27"/>
      <c r="G59" s="29" t="s">
        <v>76</v>
      </c>
      <c r="H59" s="27"/>
      <c r="I59" s="29" t="s">
        <v>81</v>
      </c>
    </row>
    <row r="60" spans="1:10" ht="18.75">
      <c r="A60" s="7"/>
    </row>
    <row r="61" spans="1:10" ht="18.75">
      <c r="A61" s="7"/>
    </row>
    <row r="62" spans="1:10" ht="18.75">
      <c r="A62" s="7"/>
    </row>
    <row r="63" spans="1:10" ht="18.75">
      <c r="A63" s="7"/>
    </row>
    <row r="64" spans="1:10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7" spans="1:1" ht="15.75">
      <c r="A77" s="1"/>
    </row>
    <row r="78" spans="1:1" ht="15.75">
      <c r="A78" s="1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2"/>
    </row>
    <row r="85" spans="1:1" ht="15.75">
      <c r="A85" s="1" t="s">
        <v>83</v>
      </c>
    </row>
    <row r="86" spans="1:1" ht="18.75">
      <c r="A86" s="31"/>
    </row>
    <row r="87" spans="1:1" ht="15.75">
      <c r="A87" s="5" t="s">
        <v>84</v>
      </c>
    </row>
    <row r="88" spans="1:1" ht="15.75">
      <c r="A88" s="5" t="s">
        <v>85</v>
      </c>
    </row>
    <row r="89" spans="1:1" ht="15.75">
      <c r="A89" s="5" t="s">
        <v>86</v>
      </c>
    </row>
    <row r="90" spans="1:1" ht="15.75">
      <c r="A90" s="4"/>
    </row>
    <row r="91" spans="1:1" ht="15.75">
      <c r="A91" s="4"/>
    </row>
    <row r="92" spans="1:1" ht="15.75">
      <c r="A92" s="4" t="s">
        <v>9</v>
      </c>
    </row>
    <row r="93" spans="1:1" ht="18.75">
      <c r="A93" s="6"/>
    </row>
    <row r="94" spans="1:1" ht="15.75">
      <c r="A94" s="4" t="s">
        <v>87</v>
      </c>
    </row>
    <row r="95" spans="1:1" ht="15.75">
      <c r="A95" s="4"/>
    </row>
    <row r="96" spans="1:1" ht="18.75">
      <c r="A96" s="7"/>
    </row>
    <row r="97" spans="1:4" ht="16.5" thickBot="1">
      <c r="A97" s="4"/>
    </row>
    <row r="98" spans="1:4" ht="47.25">
      <c r="A98" s="191" t="s">
        <v>88</v>
      </c>
      <c r="B98" s="191" t="s">
        <v>89</v>
      </c>
      <c r="C98" s="32" t="s">
        <v>14</v>
      </c>
      <c r="D98" s="191" t="s">
        <v>92</v>
      </c>
    </row>
    <row r="99" spans="1:4" ht="31.5">
      <c r="A99" s="192"/>
      <c r="B99" s="192"/>
      <c r="C99" s="33" t="s">
        <v>90</v>
      </c>
      <c r="D99" s="192"/>
    </row>
    <row r="100" spans="1:4" ht="47.25">
      <c r="A100" s="192"/>
      <c r="B100" s="192"/>
      <c r="C100" s="33" t="s">
        <v>16</v>
      </c>
      <c r="D100" s="192"/>
    </row>
    <row r="101" spans="1:4" ht="47.25">
      <c r="A101" s="192"/>
      <c r="B101" s="192"/>
      <c r="C101" s="33" t="s">
        <v>17</v>
      </c>
      <c r="D101" s="192"/>
    </row>
    <row r="102" spans="1:4" ht="32.25" thickBot="1">
      <c r="A102" s="193"/>
      <c r="B102" s="193"/>
      <c r="C102" s="34" t="s">
        <v>91</v>
      </c>
      <c r="D102" s="193"/>
    </row>
    <row r="103" spans="1:4" ht="16.5" thickBot="1">
      <c r="A103" s="84">
        <v>1</v>
      </c>
      <c r="B103" s="34">
        <v>2</v>
      </c>
      <c r="C103" s="34">
        <v>3</v>
      </c>
      <c r="D103" s="34">
        <v>4</v>
      </c>
    </row>
    <row r="104" spans="1:4" ht="16.5" thickBot="1">
      <c r="A104" s="84" t="s">
        <v>24</v>
      </c>
      <c r="B104" s="83"/>
      <c r="C104" s="83"/>
      <c r="D104" s="35"/>
    </row>
    <row r="105" spans="1:4" ht="16.5" thickBot="1">
      <c r="A105" s="84" t="s">
        <v>93</v>
      </c>
      <c r="B105" s="83"/>
      <c r="C105" s="83"/>
      <c r="D105" s="35"/>
    </row>
    <row r="106" spans="1:4" ht="16.5" thickBot="1">
      <c r="A106" s="84" t="s">
        <v>94</v>
      </c>
      <c r="B106" s="83"/>
      <c r="C106" s="34"/>
      <c r="D106" s="35"/>
    </row>
    <row r="107" spans="1:4" ht="16.5" thickBot="1">
      <c r="A107" s="84"/>
      <c r="B107" s="83" t="s">
        <v>95</v>
      </c>
      <c r="C107" s="34"/>
      <c r="D107" s="35"/>
    </row>
    <row r="108" spans="1:4" ht="15.75">
      <c r="A108" s="191" t="s">
        <v>96</v>
      </c>
      <c r="B108" s="82" t="s">
        <v>97</v>
      </c>
      <c r="C108" s="191"/>
      <c r="D108" s="194"/>
    </row>
    <row r="109" spans="1:4" ht="16.5" thickBot="1">
      <c r="A109" s="193"/>
      <c r="B109" s="83" t="s">
        <v>98</v>
      </c>
      <c r="C109" s="193"/>
      <c r="D109" s="195"/>
    </row>
    <row r="110" spans="1:4" ht="15.75">
      <c r="A110" s="3"/>
    </row>
    <row r="111" spans="1:4" ht="15.75">
      <c r="A111" s="3"/>
    </row>
    <row r="112" spans="1:4" ht="15.75">
      <c r="A112" s="3"/>
    </row>
    <row r="113" spans="1:9" ht="60.75" thickBot="1">
      <c r="A113" s="37" t="s">
        <v>99</v>
      </c>
      <c r="B113" s="25"/>
      <c r="C113" s="26"/>
      <c r="D113" s="25"/>
      <c r="E113" s="26"/>
      <c r="F113" s="25"/>
      <c r="G113" s="26"/>
      <c r="H113" s="25"/>
      <c r="I113" s="25"/>
    </row>
    <row r="114" spans="1:9">
      <c r="A114" s="27"/>
      <c r="B114" s="27"/>
      <c r="C114" s="28" t="s">
        <v>74</v>
      </c>
      <c r="D114" s="27"/>
      <c r="E114" s="28" t="s">
        <v>75</v>
      </c>
      <c r="F114" s="27"/>
      <c r="G114" s="28" t="s">
        <v>76</v>
      </c>
      <c r="H114" s="29"/>
      <c r="I114" s="29"/>
    </row>
    <row r="115" spans="1:9" ht="24.75" thickBot="1">
      <c r="A115" s="24" t="s">
        <v>77</v>
      </c>
      <c r="B115" s="25"/>
      <c r="C115" s="26"/>
      <c r="D115" s="25"/>
      <c r="E115" s="26"/>
      <c r="F115" s="25"/>
      <c r="G115" s="25"/>
      <c r="H115" s="25"/>
      <c r="I115" s="25"/>
    </row>
    <row r="116" spans="1:9">
      <c r="A116" s="29"/>
      <c r="B116" s="27"/>
      <c r="C116" s="29" t="s">
        <v>75</v>
      </c>
      <c r="D116" s="27"/>
      <c r="E116" s="29" t="s">
        <v>76</v>
      </c>
      <c r="F116" s="27"/>
      <c r="G116" s="27"/>
      <c r="H116" s="27"/>
      <c r="I116" s="27"/>
    </row>
    <row r="117" spans="1:9" ht="24.75" thickBot="1">
      <c r="A117" s="24" t="s">
        <v>79</v>
      </c>
      <c r="B117" s="25"/>
      <c r="C117" s="30"/>
      <c r="D117" s="25"/>
      <c r="E117" s="30"/>
      <c r="F117" s="25"/>
      <c r="G117" s="26"/>
      <c r="H117" s="25"/>
      <c r="I117" s="26"/>
    </row>
    <row r="118" spans="1:9">
      <c r="A118" s="29"/>
      <c r="B118" s="27"/>
      <c r="C118" s="29" t="s">
        <v>74</v>
      </c>
      <c r="D118" s="27"/>
      <c r="E118" s="29" t="s">
        <v>75</v>
      </c>
      <c r="F118" s="27"/>
      <c r="G118" s="29" t="s">
        <v>76</v>
      </c>
      <c r="H118" s="27"/>
      <c r="I118" s="29" t="s">
        <v>81</v>
      </c>
    </row>
    <row r="119" spans="1:9" ht="18.75">
      <c r="A119" s="7"/>
    </row>
    <row r="120" spans="1:9" ht="18.75">
      <c r="A120" s="7"/>
    </row>
    <row r="121" spans="1:9" ht="18.75">
      <c r="A121" s="7"/>
    </row>
    <row r="122" spans="1:9" ht="18.75">
      <c r="A122" s="7"/>
    </row>
    <row r="123" spans="1:9" ht="18.75">
      <c r="A123" s="7"/>
    </row>
  </sheetData>
  <mergeCells count="23">
    <mergeCell ref="D20:D24"/>
    <mergeCell ref="E20:F22"/>
    <mergeCell ref="G20:G24"/>
    <mergeCell ref="H20:I23"/>
    <mergeCell ref="J20:J22"/>
    <mergeCell ref="E23:E24"/>
    <mergeCell ref="F23:F24"/>
    <mergeCell ref="I28:I29"/>
    <mergeCell ref="J28:J29"/>
    <mergeCell ref="A98:A102"/>
    <mergeCell ref="B98:B102"/>
    <mergeCell ref="D98:D102"/>
    <mergeCell ref="A28:A29"/>
    <mergeCell ref="B28:B29"/>
    <mergeCell ref="C28:C29"/>
    <mergeCell ref="D28:D29"/>
    <mergeCell ref="E28:E29"/>
    <mergeCell ref="F28:F29"/>
    <mergeCell ref="A108:A109"/>
    <mergeCell ref="C108:C109"/>
    <mergeCell ref="D108:D109"/>
    <mergeCell ref="G28:G29"/>
    <mergeCell ref="H28:H29"/>
  </mergeCells>
  <pageMargins left="0.7" right="0.7" top="0.75" bottom="0.75" header="0.3" footer="0.3"/>
  <pageSetup paperSize="9" scale="5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23"/>
  <sheetViews>
    <sheetView topLeftCell="A59" workbookViewId="0">
      <selection activeCell="A77" sqref="A77:A84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3.5703125" customWidth="1"/>
    <col min="7" max="7" width="18.85546875" customWidth="1"/>
    <col min="8" max="8" width="23.7109375" customWidth="1"/>
    <col min="9" max="9" width="26.5703125" customWidth="1"/>
    <col min="10" max="10" width="36.28515625" customWidth="1"/>
  </cols>
  <sheetData>
    <row r="1" spans="1:8" ht="23.25">
      <c r="G1" s="77" t="s">
        <v>122</v>
      </c>
    </row>
    <row r="2" spans="1:8" ht="15.75">
      <c r="A2" s="69"/>
      <c r="B2" s="43"/>
      <c r="C2" s="43"/>
      <c r="D2" s="43"/>
      <c r="E2" s="43"/>
      <c r="F2" s="43"/>
      <c r="G2" s="69" t="s">
        <v>0</v>
      </c>
      <c r="H2" s="69"/>
    </row>
    <row r="3" spans="1:8" ht="15.75">
      <c r="A3" s="69"/>
      <c r="B3" s="43"/>
      <c r="C3" s="43"/>
      <c r="D3" s="43"/>
      <c r="E3" s="43"/>
      <c r="F3" s="43"/>
      <c r="G3" s="69" t="s">
        <v>1</v>
      </c>
      <c r="H3" s="69"/>
    </row>
    <row r="4" spans="1:8" ht="15.75">
      <c r="A4" s="69"/>
      <c r="B4" s="43"/>
      <c r="C4" s="43"/>
      <c r="D4" s="43"/>
      <c r="E4" s="43"/>
      <c r="F4" s="43"/>
      <c r="G4" s="69" t="s">
        <v>2</v>
      </c>
      <c r="H4" s="69"/>
    </row>
    <row r="5" spans="1:8" ht="15.75">
      <c r="A5" s="69"/>
      <c r="B5" s="43"/>
      <c r="C5" s="43"/>
      <c r="D5" s="43"/>
      <c r="E5" s="43"/>
      <c r="F5" s="43"/>
      <c r="G5" s="69" t="s">
        <v>3</v>
      </c>
      <c r="H5" s="69"/>
    </row>
    <row r="6" spans="1:8" ht="15.75">
      <c r="A6" s="69"/>
      <c r="B6" s="43"/>
      <c r="C6" s="43"/>
      <c r="D6" s="43"/>
      <c r="E6" s="43"/>
      <c r="F6" s="43"/>
      <c r="G6" s="69" t="s">
        <v>4</v>
      </c>
      <c r="H6" s="69"/>
    </row>
    <row r="7" spans="1:8" ht="15.75">
      <c r="A7" s="69"/>
      <c r="B7" s="43"/>
      <c r="C7" s="43"/>
      <c r="D7" s="43"/>
      <c r="E7" s="43"/>
      <c r="F7" s="43"/>
      <c r="G7" s="69" t="s">
        <v>5</v>
      </c>
      <c r="H7" s="69"/>
    </row>
    <row r="8" spans="1:8" ht="15.75">
      <c r="A8" s="69"/>
      <c r="B8" s="43"/>
      <c r="C8" s="43"/>
      <c r="D8" s="43"/>
      <c r="E8" s="43"/>
      <c r="F8" s="43"/>
      <c r="G8" s="69" t="s">
        <v>6</v>
      </c>
      <c r="H8" s="69"/>
    </row>
    <row r="9" spans="1:8" ht="15.75">
      <c r="A9" s="44"/>
      <c r="B9" s="43"/>
      <c r="C9" s="43"/>
      <c r="D9" s="43"/>
      <c r="E9" s="43"/>
      <c r="F9" s="43"/>
      <c r="G9" s="44" t="s">
        <v>7</v>
      </c>
      <c r="H9" s="44"/>
    </row>
    <row r="10" spans="1:8" ht="15.75">
      <c r="A10" s="69"/>
      <c r="B10" s="43"/>
      <c r="C10" s="43"/>
      <c r="D10" s="43"/>
      <c r="E10" s="43"/>
      <c r="F10" s="43"/>
      <c r="G10" s="69" t="s">
        <v>8</v>
      </c>
      <c r="H10" s="69"/>
    </row>
    <row r="11" spans="1:8" ht="15.75">
      <c r="A11" s="45"/>
      <c r="B11" s="43"/>
      <c r="C11" s="43"/>
      <c r="D11" s="43"/>
      <c r="E11" s="43"/>
      <c r="F11" s="43"/>
      <c r="G11" s="43"/>
      <c r="H11" s="43"/>
    </row>
    <row r="12" spans="1:8" ht="18.75">
      <c r="A12" s="47"/>
      <c r="B12" s="49" t="s">
        <v>101</v>
      </c>
      <c r="C12" s="49"/>
      <c r="D12" s="49"/>
      <c r="E12" s="48"/>
      <c r="F12" s="48"/>
      <c r="G12" s="48"/>
      <c r="H12" s="48"/>
    </row>
    <row r="13" spans="1:8" ht="15.75">
      <c r="A13" s="43"/>
      <c r="B13" s="50" t="s">
        <v>100</v>
      </c>
      <c r="C13" s="51"/>
      <c r="D13" s="51"/>
      <c r="E13" s="51"/>
      <c r="F13" s="43"/>
      <c r="G13" s="43"/>
      <c r="H13" s="43"/>
    </row>
    <row r="14" spans="1:8" ht="15.75">
      <c r="A14" s="45"/>
      <c r="B14" s="43"/>
      <c r="C14" s="43"/>
      <c r="D14" s="43"/>
      <c r="E14" s="43"/>
      <c r="F14" s="43"/>
      <c r="G14" s="43"/>
      <c r="H14" s="43"/>
    </row>
    <row r="15" spans="1:8" ht="18.75">
      <c r="A15" s="46"/>
      <c r="B15" s="51" t="s">
        <v>124</v>
      </c>
      <c r="C15" s="43"/>
      <c r="D15" s="43"/>
      <c r="E15" s="43"/>
      <c r="F15" s="43"/>
      <c r="G15" s="43"/>
      <c r="H15" s="43"/>
    </row>
    <row r="16" spans="1:8" ht="19.5" thickBot="1">
      <c r="A16" s="6"/>
    </row>
    <row r="17" spans="1:10" ht="16.5" hidden="1" thickBot="1">
      <c r="A17" s="4"/>
    </row>
    <row r="18" spans="1:10" ht="16.5" hidden="1" thickBot="1">
      <c r="A18" s="4"/>
    </row>
    <row r="19" spans="1:10" ht="19.5" hidden="1" thickBot="1">
      <c r="A19" s="7"/>
    </row>
    <row r="20" spans="1:10" ht="47.25">
      <c r="A20" s="86" t="s">
        <v>10</v>
      </c>
      <c r="B20" s="89" t="s">
        <v>12</v>
      </c>
      <c r="C20" s="89" t="s">
        <v>14</v>
      </c>
      <c r="D20" s="179" t="s">
        <v>19</v>
      </c>
      <c r="E20" s="182" t="s">
        <v>20</v>
      </c>
      <c r="F20" s="183"/>
      <c r="G20" s="179" t="s">
        <v>21</v>
      </c>
      <c r="H20" s="182" t="s">
        <v>20</v>
      </c>
      <c r="I20" s="183"/>
      <c r="J20" s="188"/>
    </row>
    <row r="21" spans="1:10" ht="31.5">
      <c r="A21" s="88" t="s">
        <v>11</v>
      </c>
      <c r="B21" s="90" t="s">
        <v>13</v>
      </c>
      <c r="C21" s="90" t="s">
        <v>15</v>
      </c>
      <c r="D21" s="180"/>
      <c r="E21" s="184"/>
      <c r="F21" s="185"/>
      <c r="G21" s="180"/>
      <c r="H21" s="184"/>
      <c r="I21" s="185"/>
      <c r="J21" s="188"/>
    </row>
    <row r="22" spans="1:10" ht="48" thickBot="1">
      <c r="A22" s="8"/>
      <c r="B22" s="10"/>
      <c r="C22" s="90" t="s">
        <v>16</v>
      </c>
      <c r="D22" s="180"/>
      <c r="E22" s="186"/>
      <c r="F22" s="187"/>
      <c r="G22" s="180"/>
      <c r="H22" s="184"/>
      <c r="I22" s="185"/>
      <c r="J22" s="188"/>
    </row>
    <row r="23" spans="1:10" ht="48" thickBot="1">
      <c r="A23" s="8"/>
      <c r="B23" s="10"/>
      <c r="C23" s="90" t="s">
        <v>17</v>
      </c>
      <c r="D23" s="180"/>
      <c r="E23" s="179" t="s">
        <v>22</v>
      </c>
      <c r="F23" s="179" t="s">
        <v>23</v>
      </c>
      <c r="G23" s="180"/>
      <c r="H23" s="186"/>
      <c r="I23" s="187"/>
      <c r="J23" s="12"/>
    </row>
    <row r="24" spans="1:10" ht="32.25" thickBot="1">
      <c r="A24" s="9"/>
      <c r="B24" s="11"/>
      <c r="C24" s="91" t="s">
        <v>18</v>
      </c>
      <c r="D24" s="181"/>
      <c r="E24" s="181"/>
      <c r="F24" s="181"/>
      <c r="G24" s="181"/>
      <c r="H24" s="91" t="s">
        <v>22</v>
      </c>
      <c r="I24" s="91" t="s">
        <v>23</v>
      </c>
      <c r="J24" s="12"/>
    </row>
    <row r="25" spans="1:10" ht="16.5" thickBot="1">
      <c r="A25" s="87">
        <v>1</v>
      </c>
      <c r="B25" s="91">
        <v>2</v>
      </c>
      <c r="C25" s="91">
        <v>3</v>
      </c>
      <c r="D25" s="91">
        <v>4</v>
      </c>
      <c r="E25" s="91"/>
      <c r="F25" s="91"/>
      <c r="G25" s="91"/>
      <c r="H25" s="91">
        <v>5</v>
      </c>
      <c r="I25" s="91">
        <v>6</v>
      </c>
      <c r="J25" s="12"/>
    </row>
    <row r="26" spans="1:10" ht="29.25" customHeight="1" thickBot="1">
      <c r="A26" s="87" t="s">
        <v>24</v>
      </c>
      <c r="B26" s="91" t="s">
        <v>105</v>
      </c>
      <c r="C26" s="91" t="s">
        <v>26</v>
      </c>
      <c r="D26" s="148">
        <f>E26+F26</f>
        <v>4197132</v>
      </c>
      <c r="E26" s="148">
        <v>3678309</v>
      </c>
      <c r="F26" s="148">
        <v>518823</v>
      </c>
      <c r="G26" s="148">
        <f>H26+I26</f>
        <v>50405589</v>
      </c>
      <c r="H26" s="148">
        <v>44139712</v>
      </c>
      <c r="I26" s="148">
        <v>6265877</v>
      </c>
      <c r="J26" s="12"/>
    </row>
    <row r="27" spans="1:10" ht="38.25" customHeight="1" thickBot="1">
      <c r="A27" s="143" t="s">
        <v>27</v>
      </c>
      <c r="B27" s="144" t="s">
        <v>28</v>
      </c>
      <c r="C27" s="144" t="s">
        <v>29</v>
      </c>
      <c r="D27" s="147">
        <f>E27+F27</f>
        <v>6386437.9299999997</v>
      </c>
      <c r="E27" s="147">
        <v>5027467.8899999997</v>
      </c>
      <c r="F27" s="147">
        <v>1358970.04</v>
      </c>
      <c r="G27" s="147">
        <f>H27+I27</f>
        <v>6386437.9299999997</v>
      </c>
      <c r="H27" s="147">
        <v>5027467.8899999997</v>
      </c>
      <c r="I27" s="147">
        <v>1358970.04</v>
      </c>
      <c r="J27" s="12"/>
    </row>
    <row r="28" spans="1:10" ht="27" customHeight="1">
      <c r="A28" s="204" t="s">
        <v>30</v>
      </c>
      <c r="B28" s="204" t="s">
        <v>31</v>
      </c>
      <c r="C28" s="204" t="s">
        <v>32</v>
      </c>
      <c r="D28" s="202">
        <f>E28+F28</f>
        <v>3002044.78</v>
      </c>
      <c r="E28" s="202">
        <f>2315800+116601+5488.78+47155</f>
        <v>2485044.7799999998</v>
      </c>
      <c r="F28" s="202">
        <f>477000+40000</f>
        <v>517000</v>
      </c>
      <c r="G28" s="202">
        <f>H28+I28</f>
        <v>24986433.450000003</v>
      </c>
      <c r="H28" s="202">
        <f>8686831.3+3107051.92+7494505.45+2485044.78</f>
        <v>21773433.450000003</v>
      </c>
      <c r="I28" s="202">
        <f>519000+519000+519000+519000+620000+517000</f>
        <v>3213000</v>
      </c>
      <c r="J28" s="188"/>
    </row>
    <row r="29" spans="1:10" ht="24" customHeight="1" thickBot="1">
      <c r="A29" s="205"/>
      <c r="B29" s="205"/>
      <c r="C29" s="205"/>
      <c r="D29" s="203"/>
      <c r="E29" s="203"/>
      <c r="F29" s="203"/>
      <c r="G29" s="203"/>
      <c r="H29" s="203"/>
      <c r="I29" s="203"/>
      <c r="J29" s="188"/>
    </row>
    <row r="30" spans="1:10" ht="47.25" customHeight="1" thickBot="1">
      <c r="A30" s="145" t="s">
        <v>33</v>
      </c>
      <c r="B30" s="146" t="s">
        <v>34</v>
      </c>
      <c r="C30" s="146">
        <v>900</v>
      </c>
      <c r="D30" s="149">
        <f>E30+F30</f>
        <v>6688500.1200000001</v>
      </c>
      <c r="E30" s="149">
        <f t="shared" ref="E30:I30" si="0">E32+E37+E44+E47+E48</f>
        <v>6260790.1699999999</v>
      </c>
      <c r="F30" s="149">
        <f t="shared" si="0"/>
        <v>427709.94999999995</v>
      </c>
      <c r="G30" s="149">
        <f t="shared" si="0"/>
        <v>22286450.860000003</v>
      </c>
      <c r="H30" s="149">
        <f t="shared" si="0"/>
        <v>20521710.949999999</v>
      </c>
      <c r="I30" s="149">
        <f t="shared" si="0"/>
        <v>1764739.91</v>
      </c>
      <c r="J30" s="12"/>
    </row>
    <row r="31" spans="1:10" ht="16.5" thickBot="1">
      <c r="A31" s="143"/>
      <c r="B31" s="144" t="s">
        <v>35</v>
      </c>
      <c r="C31" s="144"/>
      <c r="D31" s="144"/>
      <c r="E31" s="144"/>
      <c r="F31" s="144"/>
      <c r="G31" s="144"/>
      <c r="H31" s="144"/>
      <c r="I31" s="144"/>
      <c r="J31" s="12"/>
    </row>
    <row r="32" spans="1:10" ht="32.25" thickBot="1">
      <c r="A32" s="143" t="s">
        <v>36</v>
      </c>
      <c r="B32" s="144" t="s">
        <v>37</v>
      </c>
      <c r="C32" s="147">
        <v>210</v>
      </c>
      <c r="D32" s="147">
        <f>D34+D35+D36</f>
        <v>6359120.2200000007</v>
      </c>
      <c r="E32" s="147">
        <f>E34+E35+E36</f>
        <v>6233054.1699999999</v>
      </c>
      <c r="F32" s="147">
        <f>F34+F35+F36</f>
        <v>126066.04999999999</v>
      </c>
      <c r="G32" s="147">
        <f t="shared" ref="G32:I32" si="1">G34+G35+G36</f>
        <v>21079212.060000002</v>
      </c>
      <c r="H32" s="147">
        <f t="shared" si="1"/>
        <v>20180190.68</v>
      </c>
      <c r="I32" s="147">
        <f t="shared" si="1"/>
        <v>899021.38</v>
      </c>
      <c r="J32" s="12"/>
    </row>
    <row r="33" spans="1:10" ht="16.5" thickBot="1">
      <c r="A33" s="143"/>
      <c r="B33" s="144" t="s">
        <v>38</v>
      </c>
      <c r="C33" s="144"/>
      <c r="D33" s="144"/>
      <c r="E33" s="144"/>
      <c r="F33" s="144"/>
      <c r="G33" s="144"/>
      <c r="H33" s="144"/>
      <c r="I33" s="144"/>
      <c r="J33" s="12"/>
    </row>
    <row r="34" spans="1:10" ht="16.5" thickBot="1">
      <c r="A34" s="143" t="s">
        <v>39</v>
      </c>
      <c r="B34" s="144" t="s">
        <v>40</v>
      </c>
      <c r="C34" s="144">
        <v>211</v>
      </c>
      <c r="D34" s="144">
        <f>E34+F34</f>
        <v>4074498.45</v>
      </c>
      <c r="E34" s="144">
        <v>4013928.45</v>
      </c>
      <c r="F34" s="144">
        <v>60570</v>
      </c>
      <c r="G34" s="144">
        <f>H34+I34</f>
        <v>16074228.200000001</v>
      </c>
      <c r="H34" s="144">
        <f>6147588.65+2287288.7+3012349.87+4013928.45</f>
        <v>15461155.670000002</v>
      </c>
      <c r="I34" s="144">
        <f>33000+85172.82+196220.88+128391.47+109717.36+60570</f>
        <v>613072.53</v>
      </c>
      <c r="J34" s="12"/>
    </row>
    <row r="35" spans="1:10" ht="16.5" thickBot="1">
      <c r="A35" s="143" t="s">
        <v>41</v>
      </c>
      <c r="B35" s="144" t="s">
        <v>42</v>
      </c>
      <c r="C35" s="144">
        <v>212</v>
      </c>
      <c r="D35" s="144">
        <f>E35+F35</f>
        <v>8682.9599999999991</v>
      </c>
      <c r="E35" s="144"/>
      <c r="F35" s="144">
        <v>8682.9599999999991</v>
      </c>
      <c r="G35" s="144">
        <f>H35+I35</f>
        <v>36482.959999999999</v>
      </c>
      <c r="H35" s="144"/>
      <c r="I35" s="144">
        <f>5600+11200+5600+5400+8682.96</f>
        <v>36482.959999999999</v>
      </c>
      <c r="J35" s="12"/>
    </row>
    <row r="36" spans="1:10" ht="16.5" thickBot="1">
      <c r="A36" s="143" t="s">
        <v>43</v>
      </c>
      <c r="B36" s="144" t="s">
        <v>44</v>
      </c>
      <c r="C36" s="144">
        <v>213</v>
      </c>
      <c r="D36" s="144">
        <f>E36+F36</f>
        <v>2275938.81</v>
      </c>
      <c r="E36" s="144">
        <v>2219125.7200000002</v>
      </c>
      <c r="F36" s="144">
        <v>56813.09</v>
      </c>
      <c r="G36" s="144">
        <f>H36+I36</f>
        <v>4968500.8999999994</v>
      </c>
      <c r="H36" s="144">
        <f>666887.56+1143327.68+689694.05+2219125.72</f>
        <v>4719035.01</v>
      </c>
      <c r="I36" s="144">
        <f>44313.27+83129.36+65210.17+56813.09</f>
        <v>249465.88999999998</v>
      </c>
      <c r="J36" s="12"/>
    </row>
    <row r="37" spans="1:10" ht="16.5" thickBot="1">
      <c r="A37" s="143" t="s">
        <v>45</v>
      </c>
      <c r="B37" s="144" t="s">
        <v>46</v>
      </c>
      <c r="C37" s="147">
        <v>220</v>
      </c>
      <c r="D37" s="147">
        <f>E37+F37</f>
        <v>215090.56</v>
      </c>
      <c r="E37" s="147">
        <f>E38+E39+E40+E41+E42+E43</f>
        <v>0</v>
      </c>
      <c r="F37" s="147">
        <f>F38+F39+F40+F41+F42+F43</f>
        <v>215090.56</v>
      </c>
      <c r="G37" s="147">
        <f>G39+G40+G41+G42+G43</f>
        <v>690978.09</v>
      </c>
      <c r="H37" s="147">
        <f>H39+H40+H41+H42+H43</f>
        <v>0</v>
      </c>
      <c r="I37" s="147">
        <f>I39+I40+I41+I42+I43</f>
        <v>690978.09</v>
      </c>
      <c r="J37" s="12"/>
    </row>
    <row r="38" spans="1:10" ht="16.5" thickBot="1">
      <c r="A38" s="143"/>
      <c r="B38" s="144" t="s">
        <v>38</v>
      </c>
      <c r="C38" s="144"/>
      <c r="D38" s="144"/>
      <c r="E38" s="144"/>
      <c r="F38" s="144"/>
      <c r="G38" s="144"/>
      <c r="H38" s="144"/>
      <c r="I38" s="144"/>
      <c r="J38" s="12"/>
    </row>
    <row r="39" spans="1:10" ht="16.5" thickBot="1">
      <c r="A39" s="143" t="s">
        <v>47</v>
      </c>
      <c r="B39" s="144" t="s">
        <v>48</v>
      </c>
      <c r="C39" s="144">
        <v>221</v>
      </c>
      <c r="D39" s="144">
        <f>E39+F39</f>
        <v>2433.65</v>
      </c>
      <c r="E39" s="144"/>
      <c r="F39" s="144">
        <v>2433.65</v>
      </c>
      <c r="G39" s="144">
        <f>H39+I39</f>
        <v>10260.82</v>
      </c>
      <c r="H39" s="144"/>
      <c r="I39" s="144">
        <f>2965.06+2428.4+2433.71+2433.65</f>
        <v>10260.82</v>
      </c>
      <c r="J39" s="12"/>
    </row>
    <row r="40" spans="1:10" ht="26.25" customHeight="1" thickBot="1">
      <c r="A40" s="143" t="s">
        <v>49</v>
      </c>
      <c r="B40" s="144" t="s">
        <v>50</v>
      </c>
      <c r="C40" s="144">
        <v>222</v>
      </c>
      <c r="D40" s="144">
        <f t="shared" ref="D40:D43" si="2">E40+F40</f>
        <v>1366</v>
      </c>
      <c r="E40" s="144"/>
      <c r="F40" s="144">
        <v>1366</v>
      </c>
      <c r="G40" s="144">
        <f>H40+I40</f>
        <v>1366</v>
      </c>
      <c r="H40" s="144"/>
      <c r="I40" s="144">
        <v>1366</v>
      </c>
      <c r="J40" s="12"/>
    </row>
    <row r="41" spans="1:10" ht="29.25" customHeight="1" thickBot="1">
      <c r="A41" s="143" t="s">
        <v>51</v>
      </c>
      <c r="B41" s="144" t="s">
        <v>52</v>
      </c>
      <c r="C41" s="144">
        <v>223</v>
      </c>
      <c r="D41" s="144">
        <f t="shared" si="2"/>
        <v>41764.120000000003</v>
      </c>
      <c r="E41" s="144"/>
      <c r="F41" s="144">
        <v>41764.120000000003</v>
      </c>
      <c r="G41" s="144">
        <f>H41+I41</f>
        <v>207500.12</v>
      </c>
      <c r="H41" s="144"/>
      <c r="I41" s="144">
        <f>88934.39+32184.19+44617.42+41764.12</f>
        <v>207500.12</v>
      </c>
      <c r="J41" s="12"/>
    </row>
    <row r="42" spans="1:10" ht="16.5" thickBot="1">
      <c r="A42" s="143" t="s">
        <v>53</v>
      </c>
      <c r="B42" s="144" t="s">
        <v>54</v>
      </c>
      <c r="C42" s="144">
        <v>225</v>
      </c>
      <c r="D42" s="144">
        <f t="shared" si="2"/>
        <v>46595.7</v>
      </c>
      <c r="E42" s="144"/>
      <c r="F42" s="144">
        <v>46595.7</v>
      </c>
      <c r="G42" s="144">
        <f>H42+I42</f>
        <v>198822.57</v>
      </c>
      <c r="H42" s="144"/>
      <c r="I42" s="144">
        <f>75980.5+26225.01+50021.36+46595.7</f>
        <v>198822.57</v>
      </c>
      <c r="J42" s="12"/>
    </row>
    <row r="43" spans="1:10" ht="30" customHeight="1" thickBot="1">
      <c r="A43" s="143" t="s">
        <v>55</v>
      </c>
      <c r="B43" s="144" t="s">
        <v>56</v>
      </c>
      <c r="C43" s="144">
        <v>226</v>
      </c>
      <c r="D43" s="144">
        <f t="shared" si="2"/>
        <v>122931.09</v>
      </c>
      <c r="E43" s="144"/>
      <c r="F43" s="144">
        <v>122931.09</v>
      </c>
      <c r="G43" s="144">
        <f>H43+I43</f>
        <v>273028.57999999996</v>
      </c>
      <c r="H43" s="144"/>
      <c r="I43" s="144">
        <f>16491.07+19937.75+24154.87+41054.6+48459.2+122931.09</f>
        <v>273028.57999999996</v>
      </c>
      <c r="J43" s="12"/>
    </row>
    <row r="44" spans="1:10" ht="16.5" thickBot="1">
      <c r="A44" s="143" t="s">
        <v>57</v>
      </c>
      <c r="B44" s="144" t="s">
        <v>58</v>
      </c>
      <c r="C44" s="147">
        <v>260</v>
      </c>
      <c r="D44" s="147">
        <f t="shared" ref="D44:G44" si="3">D46</f>
        <v>0</v>
      </c>
      <c r="E44" s="147"/>
      <c r="F44" s="147"/>
      <c r="G44" s="147">
        <f t="shared" si="3"/>
        <v>0</v>
      </c>
      <c r="H44" s="147"/>
      <c r="I44" s="147"/>
      <c r="J44" s="12"/>
    </row>
    <row r="45" spans="1:10" ht="16.5" thickBot="1">
      <c r="A45" s="143"/>
      <c r="B45" s="144" t="s">
        <v>38</v>
      </c>
      <c r="C45" s="144"/>
      <c r="D45" s="144"/>
      <c r="E45" s="144"/>
      <c r="F45" s="144"/>
      <c r="G45" s="144"/>
      <c r="H45" s="144"/>
      <c r="I45" s="144"/>
      <c r="J45" s="12"/>
    </row>
    <row r="46" spans="1:10" ht="16.5" thickBot="1">
      <c r="A46" s="143" t="s">
        <v>59</v>
      </c>
      <c r="B46" s="144" t="s">
        <v>60</v>
      </c>
      <c r="C46" s="144">
        <v>262</v>
      </c>
      <c r="D46" s="144"/>
      <c r="E46" s="144"/>
      <c r="F46" s="144"/>
      <c r="G46" s="144"/>
      <c r="H46" s="144"/>
      <c r="I46" s="144"/>
      <c r="J46" s="12"/>
    </row>
    <row r="47" spans="1:10" ht="38.25" customHeight="1" thickBot="1">
      <c r="A47" s="143" t="s">
        <v>61</v>
      </c>
      <c r="B47" s="144" t="s">
        <v>62</v>
      </c>
      <c r="C47" s="147">
        <v>290</v>
      </c>
      <c r="D47" s="147">
        <f>E47+F47</f>
        <v>39309.339999999997</v>
      </c>
      <c r="E47" s="147"/>
      <c r="F47" s="147">
        <v>39309.339999999997</v>
      </c>
      <c r="G47" s="147">
        <f>H47+I47</f>
        <v>51182.77</v>
      </c>
      <c r="H47" s="147"/>
      <c r="I47" s="147">
        <f>4330.45+7542.98+39309.34</f>
        <v>51182.77</v>
      </c>
      <c r="J47" s="12"/>
    </row>
    <row r="48" spans="1:10" ht="33" customHeight="1" thickBot="1">
      <c r="A48" s="143" t="s">
        <v>63</v>
      </c>
      <c r="B48" s="144" t="s">
        <v>64</v>
      </c>
      <c r="C48" s="147">
        <v>300</v>
      </c>
      <c r="D48" s="147">
        <f t="shared" ref="D48:I48" si="4">D50+D51</f>
        <v>74980</v>
      </c>
      <c r="E48" s="147">
        <f t="shared" si="4"/>
        <v>27736</v>
      </c>
      <c r="F48" s="147">
        <f>F50+F51</f>
        <v>47244</v>
      </c>
      <c r="G48" s="147">
        <f t="shared" si="4"/>
        <v>465077.94</v>
      </c>
      <c r="H48" s="147">
        <f t="shared" si="4"/>
        <v>341520.27</v>
      </c>
      <c r="I48" s="147">
        <f t="shared" si="4"/>
        <v>123557.67</v>
      </c>
      <c r="J48" s="12"/>
    </row>
    <row r="49" spans="1:10" ht="16.5" thickBot="1">
      <c r="A49" s="143"/>
      <c r="B49" s="144" t="s">
        <v>38</v>
      </c>
      <c r="C49" s="144"/>
      <c r="D49" s="144"/>
      <c r="E49" s="144"/>
      <c r="F49" s="144"/>
      <c r="G49" s="144"/>
      <c r="H49" s="144"/>
      <c r="I49" s="144"/>
      <c r="J49" s="12"/>
    </row>
    <row r="50" spans="1:10" ht="16.5" thickBot="1">
      <c r="A50" s="143" t="s">
        <v>65</v>
      </c>
      <c r="B50" s="144" t="s">
        <v>66</v>
      </c>
      <c r="C50" s="144">
        <v>310</v>
      </c>
      <c r="D50" s="144">
        <f>E50+F50</f>
        <v>74980</v>
      </c>
      <c r="E50" s="144">
        <v>27736</v>
      </c>
      <c r="F50" s="144">
        <v>47244</v>
      </c>
      <c r="G50" s="144">
        <f>H50+I50</f>
        <v>260574.27000000002</v>
      </c>
      <c r="H50" s="144">
        <f>115940.23+49806.12+86317.92</f>
        <v>252064.27000000002</v>
      </c>
      <c r="I50" s="144">
        <f>-390+8900</f>
        <v>8510</v>
      </c>
      <c r="J50" s="12"/>
    </row>
    <row r="51" spans="1:10" ht="16.5" thickBot="1">
      <c r="A51" s="143" t="s">
        <v>67</v>
      </c>
      <c r="B51" s="144" t="s">
        <v>68</v>
      </c>
      <c r="C51" s="144">
        <v>340</v>
      </c>
      <c r="D51" s="144">
        <f>E51+F51</f>
        <v>0</v>
      </c>
      <c r="E51" s="144"/>
      <c r="F51" s="144"/>
      <c r="G51" s="144">
        <f>H51+I51</f>
        <v>204503.66999999998</v>
      </c>
      <c r="H51" s="144">
        <f>41720+20000+27736</f>
        <v>89456</v>
      </c>
      <c r="I51" s="144">
        <f>63288.67+4515+47244</f>
        <v>115047.67</v>
      </c>
      <c r="J51" s="12"/>
    </row>
    <row r="52" spans="1:10" ht="32.25" thickBot="1">
      <c r="A52" s="143" t="s">
        <v>69</v>
      </c>
      <c r="B52" s="144" t="s">
        <v>70</v>
      </c>
      <c r="C52" s="144" t="s">
        <v>26</v>
      </c>
      <c r="D52" s="144">
        <f>G27+D28-D30</f>
        <v>2699982.5899999989</v>
      </c>
      <c r="E52" s="144">
        <f>H27+E28-E30</f>
        <v>1251722.5</v>
      </c>
      <c r="F52" s="144">
        <f>I27+F28-F30</f>
        <v>1448260.09</v>
      </c>
      <c r="G52" s="144">
        <f>G28-G30</f>
        <v>2699982.59</v>
      </c>
      <c r="H52" s="144">
        <f>H28-H30</f>
        <v>1251722.5000000037</v>
      </c>
      <c r="I52" s="144">
        <f>I28-I30</f>
        <v>1448260.09</v>
      </c>
      <c r="J52" s="12"/>
    </row>
    <row r="53" spans="1:10" ht="18.75">
      <c r="A53" s="23"/>
    </row>
    <row r="54" spans="1:10" ht="27" customHeight="1" thickBot="1">
      <c r="A54" s="24" t="s">
        <v>71</v>
      </c>
      <c r="B54" s="25"/>
      <c r="C54" s="26" t="s">
        <v>72</v>
      </c>
      <c r="D54" s="25"/>
      <c r="E54" s="26"/>
      <c r="F54" s="25"/>
      <c r="G54" s="26" t="s">
        <v>73</v>
      </c>
      <c r="H54" s="25"/>
      <c r="I54" s="25"/>
    </row>
    <row r="55" spans="1:10" ht="9" customHeight="1">
      <c r="A55" s="27"/>
      <c r="B55" s="27"/>
      <c r="C55" s="28" t="s">
        <v>74</v>
      </c>
      <c r="D55" s="27"/>
      <c r="E55" s="28" t="s">
        <v>75</v>
      </c>
      <c r="F55" s="27"/>
      <c r="G55" s="28" t="s">
        <v>76</v>
      </c>
      <c r="H55" s="29"/>
      <c r="I55" s="29"/>
    </row>
    <row r="56" spans="1:10" ht="24.75" thickBot="1">
      <c r="A56" s="24" t="s">
        <v>77</v>
      </c>
      <c r="B56" s="25"/>
      <c r="C56" s="26"/>
      <c r="D56" s="25"/>
      <c r="E56" s="26" t="s">
        <v>78</v>
      </c>
      <c r="F56" s="25"/>
      <c r="G56" s="25"/>
      <c r="H56" s="25"/>
      <c r="I56" s="25"/>
    </row>
    <row r="57" spans="1:10" ht="9.75" customHeight="1">
      <c r="A57" s="29"/>
      <c r="B57" s="27"/>
      <c r="C57" s="29" t="s">
        <v>75</v>
      </c>
      <c r="D57" s="27"/>
      <c r="E57" s="29" t="s">
        <v>76</v>
      </c>
      <c r="F57" s="27"/>
      <c r="G57" s="27"/>
      <c r="H57" s="27"/>
      <c r="I57" s="27"/>
    </row>
    <row r="58" spans="1:10" ht="24.75" thickBot="1">
      <c r="A58" s="24" t="s">
        <v>79</v>
      </c>
      <c r="B58" s="25"/>
      <c r="C58" s="30" t="s">
        <v>77</v>
      </c>
      <c r="D58" s="25"/>
      <c r="E58" s="30"/>
      <c r="F58" s="25"/>
      <c r="G58" s="26" t="s">
        <v>78</v>
      </c>
      <c r="H58" s="25"/>
      <c r="I58" s="26" t="s">
        <v>80</v>
      </c>
    </row>
    <row r="59" spans="1:10">
      <c r="A59" s="29"/>
      <c r="B59" s="27"/>
      <c r="C59" s="29" t="s">
        <v>74</v>
      </c>
      <c r="D59" s="27"/>
      <c r="E59" s="29" t="s">
        <v>75</v>
      </c>
      <c r="F59" s="27"/>
      <c r="G59" s="29" t="s">
        <v>76</v>
      </c>
      <c r="H59" s="27"/>
      <c r="I59" s="29" t="s">
        <v>81</v>
      </c>
    </row>
    <row r="60" spans="1:10" ht="18.75">
      <c r="A60" s="7"/>
    </row>
    <row r="61" spans="1:10" ht="18.75">
      <c r="A61" s="7"/>
    </row>
    <row r="62" spans="1:10" ht="18.75">
      <c r="A62" s="7"/>
    </row>
    <row r="63" spans="1:10" ht="18.75">
      <c r="A63" s="7"/>
    </row>
    <row r="64" spans="1:10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7" spans="1:1" ht="15.75">
      <c r="A77" s="1"/>
    </row>
    <row r="78" spans="1:1" ht="15.75">
      <c r="A78" s="1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2"/>
    </row>
    <row r="85" spans="1:1" ht="15.75">
      <c r="A85" s="1" t="s">
        <v>83</v>
      </c>
    </row>
    <row r="86" spans="1:1" ht="18.75">
      <c r="A86" s="31"/>
    </row>
    <row r="87" spans="1:1" ht="15.75">
      <c r="A87" s="5" t="s">
        <v>84</v>
      </c>
    </row>
    <row r="88" spans="1:1" ht="15.75">
      <c r="A88" s="5" t="s">
        <v>85</v>
      </c>
    </row>
    <row r="89" spans="1:1" ht="15.75">
      <c r="A89" s="5" t="s">
        <v>86</v>
      </c>
    </row>
    <row r="90" spans="1:1" ht="15.75">
      <c r="A90" s="4"/>
    </row>
    <row r="91" spans="1:1" ht="15.75">
      <c r="A91" s="4"/>
    </row>
    <row r="92" spans="1:1" ht="15.75">
      <c r="A92" s="4" t="s">
        <v>9</v>
      </c>
    </row>
    <row r="93" spans="1:1" ht="18.75">
      <c r="A93" s="6"/>
    </row>
    <row r="94" spans="1:1" ht="15.75">
      <c r="A94" s="4" t="s">
        <v>87</v>
      </c>
    </row>
    <row r="95" spans="1:1" ht="15.75">
      <c r="A95" s="4"/>
    </row>
    <row r="96" spans="1:1" ht="18.75">
      <c r="A96" s="7"/>
    </row>
    <row r="97" spans="1:4" ht="16.5" thickBot="1">
      <c r="A97" s="4"/>
    </row>
    <row r="98" spans="1:4" ht="47.25">
      <c r="A98" s="191" t="s">
        <v>88</v>
      </c>
      <c r="B98" s="191" t="s">
        <v>89</v>
      </c>
      <c r="C98" s="32" t="s">
        <v>14</v>
      </c>
      <c r="D98" s="191" t="s">
        <v>92</v>
      </c>
    </row>
    <row r="99" spans="1:4" ht="31.5">
      <c r="A99" s="192"/>
      <c r="B99" s="192"/>
      <c r="C99" s="33" t="s">
        <v>90</v>
      </c>
      <c r="D99" s="192"/>
    </row>
    <row r="100" spans="1:4" ht="47.25">
      <c r="A100" s="192"/>
      <c r="B100" s="192"/>
      <c r="C100" s="33" t="s">
        <v>16</v>
      </c>
      <c r="D100" s="192"/>
    </row>
    <row r="101" spans="1:4" ht="47.25">
      <c r="A101" s="192"/>
      <c r="B101" s="192"/>
      <c r="C101" s="33" t="s">
        <v>17</v>
      </c>
      <c r="D101" s="192"/>
    </row>
    <row r="102" spans="1:4" ht="32.25" thickBot="1">
      <c r="A102" s="193"/>
      <c r="B102" s="193"/>
      <c r="C102" s="34" t="s">
        <v>91</v>
      </c>
      <c r="D102" s="193"/>
    </row>
    <row r="103" spans="1:4" ht="16.5" thickBot="1">
      <c r="A103" s="85">
        <v>1</v>
      </c>
      <c r="B103" s="34">
        <v>2</v>
      </c>
      <c r="C103" s="34">
        <v>3</v>
      </c>
      <c r="D103" s="34">
        <v>4</v>
      </c>
    </row>
    <row r="104" spans="1:4" ht="16.5" thickBot="1">
      <c r="A104" s="85" t="s">
        <v>24</v>
      </c>
      <c r="B104" s="91"/>
      <c r="C104" s="91"/>
      <c r="D104" s="35"/>
    </row>
    <row r="105" spans="1:4" ht="16.5" thickBot="1">
      <c r="A105" s="85" t="s">
        <v>93</v>
      </c>
      <c r="B105" s="91"/>
      <c r="C105" s="91"/>
      <c r="D105" s="35"/>
    </row>
    <row r="106" spans="1:4" ht="16.5" thickBot="1">
      <c r="A106" s="85" t="s">
        <v>94</v>
      </c>
      <c r="B106" s="91"/>
      <c r="C106" s="34"/>
      <c r="D106" s="35"/>
    </row>
    <row r="107" spans="1:4" ht="16.5" thickBot="1">
      <c r="A107" s="85"/>
      <c r="B107" s="91" t="s">
        <v>95</v>
      </c>
      <c r="C107" s="34"/>
      <c r="D107" s="35"/>
    </row>
    <row r="108" spans="1:4" ht="15.75">
      <c r="A108" s="191" t="s">
        <v>96</v>
      </c>
      <c r="B108" s="90" t="s">
        <v>97</v>
      </c>
      <c r="C108" s="191"/>
      <c r="D108" s="194"/>
    </row>
    <row r="109" spans="1:4" ht="16.5" thickBot="1">
      <c r="A109" s="193"/>
      <c r="B109" s="91" t="s">
        <v>98</v>
      </c>
      <c r="C109" s="193"/>
      <c r="D109" s="195"/>
    </row>
    <row r="110" spans="1:4" ht="15.75">
      <c r="A110" s="3"/>
    </row>
    <row r="111" spans="1:4" ht="15.75">
      <c r="A111" s="3"/>
    </row>
    <row r="112" spans="1:4" ht="15.75">
      <c r="A112" s="3"/>
    </row>
    <row r="113" spans="1:9" ht="60.75" thickBot="1">
      <c r="A113" s="37" t="s">
        <v>99</v>
      </c>
      <c r="B113" s="25"/>
      <c r="C113" s="26"/>
      <c r="D113" s="25"/>
      <c r="E113" s="26"/>
      <c r="F113" s="25"/>
      <c r="G113" s="26"/>
      <c r="H113" s="25"/>
      <c r="I113" s="25"/>
    </row>
    <row r="114" spans="1:9">
      <c r="A114" s="27"/>
      <c r="B114" s="27"/>
      <c r="C114" s="28" t="s">
        <v>74</v>
      </c>
      <c r="D114" s="27"/>
      <c r="E114" s="28" t="s">
        <v>75</v>
      </c>
      <c r="F114" s="27"/>
      <c r="G114" s="28" t="s">
        <v>76</v>
      </c>
      <c r="H114" s="29"/>
      <c r="I114" s="29"/>
    </row>
    <row r="115" spans="1:9" ht="24.75" thickBot="1">
      <c r="A115" s="24" t="s">
        <v>77</v>
      </c>
      <c r="B115" s="25"/>
      <c r="C115" s="26"/>
      <c r="D115" s="25"/>
      <c r="E115" s="26"/>
      <c r="F115" s="25"/>
      <c r="G115" s="25"/>
      <c r="H115" s="25"/>
      <c r="I115" s="25"/>
    </row>
    <row r="116" spans="1:9">
      <c r="A116" s="29"/>
      <c r="B116" s="27"/>
      <c r="C116" s="29" t="s">
        <v>75</v>
      </c>
      <c r="D116" s="27"/>
      <c r="E116" s="29" t="s">
        <v>76</v>
      </c>
      <c r="F116" s="27"/>
      <c r="G116" s="27"/>
      <c r="H116" s="27"/>
      <c r="I116" s="27"/>
    </row>
    <row r="117" spans="1:9" ht="24.75" thickBot="1">
      <c r="A117" s="24" t="s">
        <v>79</v>
      </c>
      <c r="B117" s="25"/>
      <c r="C117" s="30"/>
      <c r="D117" s="25"/>
      <c r="E117" s="30"/>
      <c r="F117" s="25"/>
      <c r="G117" s="26"/>
      <c r="H117" s="25"/>
      <c r="I117" s="26"/>
    </row>
    <row r="118" spans="1:9">
      <c r="A118" s="29"/>
      <c r="B118" s="27"/>
      <c r="C118" s="29" t="s">
        <v>74</v>
      </c>
      <c r="D118" s="27"/>
      <c r="E118" s="29" t="s">
        <v>75</v>
      </c>
      <c r="F118" s="27"/>
      <c r="G118" s="29" t="s">
        <v>76</v>
      </c>
      <c r="H118" s="27"/>
      <c r="I118" s="29" t="s">
        <v>81</v>
      </c>
    </row>
    <row r="119" spans="1:9" ht="18.75">
      <c r="A119" s="7"/>
    </row>
    <row r="120" spans="1:9" ht="18.75">
      <c r="A120" s="7"/>
    </row>
    <row r="121" spans="1:9" ht="18.75">
      <c r="A121" s="7"/>
    </row>
    <row r="122" spans="1:9" ht="18.75">
      <c r="A122" s="7"/>
    </row>
    <row r="123" spans="1:9" ht="18.75">
      <c r="A123" s="7"/>
    </row>
  </sheetData>
  <mergeCells count="23">
    <mergeCell ref="A108:A109"/>
    <mergeCell ref="C108:C109"/>
    <mergeCell ref="D108:D109"/>
    <mergeCell ref="G28:G29"/>
    <mergeCell ref="H28:H29"/>
    <mergeCell ref="I28:I29"/>
    <mergeCell ref="J28:J29"/>
    <mergeCell ref="A98:A102"/>
    <mergeCell ref="B98:B102"/>
    <mergeCell ref="D98:D102"/>
    <mergeCell ref="A28:A29"/>
    <mergeCell ref="B28:B29"/>
    <mergeCell ref="C28:C29"/>
    <mergeCell ref="D28:D29"/>
    <mergeCell ref="E28:E29"/>
    <mergeCell ref="F28:F29"/>
    <mergeCell ref="D20:D24"/>
    <mergeCell ref="E20:F22"/>
    <mergeCell ref="G20:G24"/>
    <mergeCell ref="H20:I23"/>
    <mergeCell ref="J20:J22"/>
    <mergeCell ref="E23:E24"/>
    <mergeCell ref="F23:F24"/>
  </mergeCells>
  <pageMargins left="0.7" right="0.7" top="0.75" bottom="0.75" header="0.3" footer="0.3"/>
  <pageSetup paperSize="9" scale="5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23"/>
  <sheetViews>
    <sheetView topLeftCell="A65" workbookViewId="0">
      <selection activeCell="B80" sqref="B80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6.85546875" customWidth="1"/>
    <col min="6" max="6" width="15.7109375" customWidth="1"/>
    <col min="7" max="7" width="18.85546875" customWidth="1"/>
    <col min="8" max="8" width="19.7109375" customWidth="1"/>
    <col min="9" max="9" width="18.28515625" customWidth="1"/>
    <col min="10" max="10" width="36.28515625" customWidth="1"/>
  </cols>
  <sheetData>
    <row r="1" spans="1:8" ht="23.25">
      <c r="G1" s="77" t="s">
        <v>125</v>
      </c>
    </row>
    <row r="2" spans="1:8" ht="15.75">
      <c r="A2" s="69"/>
      <c r="B2" s="43"/>
      <c r="C2" s="43"/>
      <c r="D2" s="43"/>
      <c r="E2" s="43"/>
      <c r="F2" s="43"/>
      <c r="G2" s="69" t="s">
        <v>0</v>
      </c>
      <c r="H2" s="69"/>
    </row>
    <row r="3" spans="1:8" ht="15.75">
      <c r="A3" s="69"/>
      <c r="B3" s="43"/>
      <c r="C3" s="43"/>
      <c r="D3" s="43"/>
      <c r="E3" s="43"/>
      <c r="F3" s="43"/>
      <c r="G3" s="69" t="s">
        <v>1</v>
      </c>
      <c r="H3" s="69"/>
    </row>
    <row r="4" spans="1:8" ht="15.75">
      <c r="A4" s="69"/>
      <c r="B4" s="43"/>
      <c r="C4" s="43"/>
      <c r="D4" s="43"/>
      <c r="E4" s="43"/>
      <c r="F4" s="43"/>
      <c r="G4" s="69" t="s">
        <v>2</v>
      </c>
      <c r="H4" s="69"/>
    </row>
    <row r="5" spans="1:8" ht="15.75">
      <c r="A5" s="69"/>
      <c r="B5" s="43"/>
      <c r="C5" s="43"/>
      <c r="D5" s="43"/>
      <c r="E5" s="43"/>
      <c r="F5" s="43"/>
      <c r="G5" s="69" t="s">
        <v>3</v>
      </c>
      <c r="H5" s="69"/>
    </row>
    <row r="6" spans="1:8" ht="15.75">
      <c r="A6" s="69"/>
      <c r="B6" s="43"/>
      <c r="C6" s="43"/>
      <c r="D6" s="43"/>
      <c r="E6" s="43"/>
      <c r="F6" s="43"/>
      <c r="G6" s="69" t="s">
        <v>4</v>
      </c>
      <c r="H6" s="69"/>
    </row>
    <row r="7" spans="1:8" ht="15.75">
      <c r="A7" s="69"/>
      <c r="B7" s="43"/>
      <c r="C7" s="43"/>
      <c r="D7" s="43"/>
      <c r="E7" s="43"/>
      <c r="F7" s="43"/>
      <c r="G7" s="69" t="s">
        <v>5</v>
      </c>
      <c r="H7" s="69"/>
    </row>
    <row r="8" spans="1:8" ht="15.75">
      <c r="A8" s="69"/>
      <c r="B8" s="43"/>
      <c r="C8" s="43"/>
      <c r="D8" s="43"/>
      <c r="E8" s="43"/>
      <c r="F8" s="43"/>
      <c r="G8" s="69" t="s">
        <v>6</v>
      </c>
      <c r="H8" s="69"/>
    </row>
    <row r="9" spans="1:8" ht="15.75">
      <c r="A9" s="44"/>
      <c r="B9" s="43"/>
      <c r="C9" s="43"/>
      <c r="D9" s="43"/>
      <c r="E9" s="43"/>
      <c r="F9" s="43"/>
      <c r="G9" s="44" t="s">
        <v>7</v>
      </c>
      <c r="H9" s="44"/>
    </row>
    <row r="10" spans="1:8" ht="15.75">
      <c r="A10" s="69"/>
      <c r="B10" s="43"/>
      <c r="C10" s="43"/>
      <c r="D10" s="43"/>
      <c r="E10" s="43"/>
      <c r="F10" s="43"/>
      <c r="G10" s="69" t="s">
        <v>8</v>
      </c>
      <c r="H10" s="69"/>
    </row>
    <row r="11" spans="1:8" ht="15.75">
      <c r="A11" s="45"/>
      <c r="B11" s="43"/>
      <c r="C11" s="43"/>
      <c r="D11" s="43"/>
      <c r="E11" s="43"/>
      <c r="F11" s="43"/>
      <c r="G11" s="43"/>
      <c r="H11" s="43"/>
    </row>
    <row r="12" spans="1:8" ht="18.75">
      <c r="A12" s="47"/>
      <c r="B12" s="49" t="s">
        <v>101</v>
      </c>
      <c r="C12" s="49"/>
      <c r="D12" s="49"/>
      <c r="E12" s="48"/>
      <c r="F12" s="48"/>
      <c r="G12" s="48"/>
      <c r="H12" s="48"/>
    </row>
    <row r="13" spans="1:8" ht="15.75">
      <c r="A13" s="43"/>
      <c r="B13" s="50" t="s">
        <v>100</v>
      </c>
      <c r="C13" s="51"/>
      <c r="D13" s="51"/>
      <c r="E13" s="51"/>
      <c r="F13" s="43"/>
      <c r="G13" s="43"/>
      <c r="H13" s="43"/>
    </row>
    <row r="14" spans="1:8" ht="15.75">
      <c r="A14" s="45"/>
      <c r="B14" s="43"/>
      <c r="C14" s="43"/>
      <c r="D14" s="43"/>
      <c r="E14" s="43"/>
      <c r="F14" s="43"/>
      <c r="G14" s="43"/>
      <c r="H14" s="43"/>
    </row>
    <row r="15" spans="1:8" ht="18.75">
      <c r="A15" s="46"/>
      <c r="B15" s="51" t="s">
        <v>126</v>
      </c>
      <c r="C15" s="43"/>
      <c r="D15" s="43"/>
      <c r="E15" s="43"/>
      <c r="F15" s="43"/>
      <c r="G15" s="43"/>
      <c r="H15" s="43"/>
    </row>
    <row r="16" spans="1:8" ht="18.75" customHeight="1" thickBot="1">
      <c r="A16" s="6"/>
    </row>
    <row r="17" spans="1:10" ht="16.5" hidden="1" thickBot="1">
      <c r="A17" s="4"/>
    </row>
    <row r="18" spans="1:10" ht="16.5" hidden="1" thickBot="1">
      <c r="A18" s="4"/>
    </row>
    <row r="19" spans="1:10" ht="19.5" hidden="1" thickBot="1">
      <c r="A19" s="7"/>
    </row>
    <row r="20" spans="1:10" ht="47.25">
      <c r="A20" s="86" t="s">
        <v>10</v>
      </c>
      <c r="B20" s="89" t="s">
        <v>12</v>
      </c>
      <c r="C20" s="89" t="s">
        <v>14</v>
      </c>
      <c r="D20" s="179" t="s">
        <v>19</v>
      </c>
      <c r="E20" s="182" t="s">
        <v>20</v>
      </c>
      <c r="F20" s="183"/>
      <c r="G20" s="179" t="s">
        <v>21</v>
      </c>
      <c r="H20" s="182" t="s">
        <v>20</v>
      </c>
      <c r="I20" s="183"/>
      <c r="J20" s="188"/>
    </row>
    <row r="21" spans="1:10" ht="31.5">
      <c r="A21" s="88" t="s">
        <v>11</v>
      </c>
      <c r="B21" s="90" t="s">
        <v>13</v>
      </c>
      <c r="C21" s="90" t="s">
        <v>15</v>
      </c>
      <c r="D21" s="180"/>
      <c r="E21" s="184"/>
      <c r="F21" s="185"/>
      <c r="G21" s="180"/>
      <c r="H21" s="184"/>
      <c r="I21" s="185"/>
      <c r="J21" s="188"/>
    </row>
    <row r="22" spans="1:10" ht="48" thickBot="1">
      <c r="A22" s="8"/>
      <c r="B22" s="10"/>
      <c r="C22" s="90" t="s">
        <v>16</v>
      </c>
      <c r="D22" s="180"/>
      <c r="E22" s="186"/>
      <c r="F22" s="187"/>
      <c r="G22" s="180"/>
      <c r="H22" s="184"/>
      <c r="I22" s="185"/>
      <c r="J22" s="188"/>
    </row>
    <row r="23" spans="1:10" ht="48" thickBot="1">
      <c r="A23" s="8"/>
      <c r="B23" s="10"/>
      <c r="C23" s="90" t="s">
        <v>17</v>
      </c>
      <c r="D23" s="180"/>
      <c r="E23" s="179" t="s">
        <v>22</v>
      </c>
      <c r="F23" s="179" t="s">
        <v>23</v>
      </c>
      <c r="G23" s="180"/>
      <c r="H23" s="186"/>
      <c r="I23" s="187"/>
      <c r="J23" s="12"/>
    </row>
    <row r="24" spans="1:10" ht="48" thickBot="1">
      <c r="A24" s="9"/>
      <c r="B24" s="11"/>
      <c r="C24" s="91" t="s">
        <v>18</v>
      </c>
      <c r="D24" s="181"/>
      <c r="E24" s="181"/>
      <c r="F24" s="181"/>
      <c r="G24" s="181"/>
      <c r="H24" s="91" t="s">
        <v>22</v>
      </c>
      <c r="I24" s="91" t="s">
        <v>23</v>
      </c>
      <c r="J24" s="12"/>
    </row>
    <row r="25" spans="1:10" ht="16.5" thickBot="1">
      <c r="A25" s="87">
        <v>1</v>
      </c>
      <c r="B25" s="91">
        <v>2</v>
      </c>
      <c r="C25" s="91">
        <v>3</v>
      </c>
      <c r="D25" s="91">
        <v>4</v>
      </c>
      <c r="E25" s="91"/>
      <c r="F25" s="91"/>
      <c r="G25" s="91"/>
      <c r="H25" s="91">
        <v>5</v>
      </c>
      <c r="I25" s="91">
        <v>6</v>
      </c>
      <c r="J25" s="12"/>
    </row>
    <row r="26" spans="1:10" ht="29.25" customHeight="1" thickBot="1">
      <c r="A26" s="87" t="s">
        <v>24</v>
      </c>
      <c r="B26" s="91" t="s">
        <v>105</v>
      </c>
      <c r="C26" s="91" t="s">
        <v>26</v>
      </c>
      <c r="D26" s="151">
        <f>E26+F26</f>
        <v>4197132</v>
      </c>
      <c r="E26" s="151">
        <v>3678309</v>
      </c>
      <c r="F26" s="151">
        <v>518823</v>
      </c>
      <c r="G26" s="53">
        <f>H26+I26</f>
        <v>50405589</v>
      </c>
      <c r="H26" s="53">
        <v>44139712</v>
      </c>
      <c r="I26" s="53">
        <v>6265877</v>
      </c>
      <c r="J26" s="12"/>
    </row>
    <row r="27" spans="1:10" ht="38.25" customHeight="1" thickBot="1">
      <c r="A27" s="143">
        <v>6265877</v>
      </c>
      <c r="B27" s="144" t="s">
        <v>28</v>
      </c>
      <c r="C27" s="144" t="s">
        <v>29</v>
      </c>
      <c r="D27" s="152">
        <f>E27+F27</f>
        <v>2699982.59</v>
      </c>
      <c r="E27" s="152">
        <v>1251722.5</v>
      </c>
      <c r="F27" s="152">
        <v>1448260.09</v>
      </c>
      <c r="G27" s="152">
        <f>H27+I27</f>
        <v>2699982.59</v>
      </c>
      <c r="H27" s="152">
        <v>1251722.5</v>
      </c>
      <c r="I27" s="152">
        <v>1448260.09</v>
      </c>
      <c r="J27" s="12"/>
    </row>
    <row r="28" spans="1:10" ht="27" customHeight="1">
      <c r="A28" s="204" t="s">
        <v>30</v>
      </c>
      <c r="B28" s="204" t="s">
        <v>31</v>
      </c>
      <c r="C28" s="204" t="s">
        <v>32</v>
      </c>
      <c r="D28" s="206">
        <f>E28+F28</f>
        <v>2836403.18</v>
      </c>
      <c r="E28" s="206">
        <f>2275163.2+81.98+42336</f>
        <v>2317581.1800000002</v>
      </c>
      <c r="F28" s="206">
        <v>518822</v>
      </c>
      <c r="G28" s="206">
        <f>H28+I28</f>
        <v>27822836.630000003</v>
      </c>
      <c r="H28" s="206">
        <f>8686831.3+3107051.92+7494505.45+2485044.78+2317581.18</f>
        <v>24091014.630000003</v>
      </c>
      <c r="I28" s="206">
        <f>519000+519000+519000+519000+620000+517000+518822</f>
        <v>3731822</v>
      </c>
      <c r="J28" s="188"/>
    </row>
    <row r="29" spans="1:10" ht="24" customHeight="1" thickBot="1">
      <c r="A29" s="205"/>
      <c r="B29" s="205"/>
      <c r="C29" s="205"/>
      <c r="D29" s="207"/>
      <c r="E29" s="207"/>
      <c r="F29" s="207"/>
      <c r="G29" s="207"/>
      <c r="H29" s="207"/>
      <c r="I29" s="207"/>
      <c r="J29" s="188"/>
    </row>
    <row r="30" spans="1:10" ht="47.25" customHeight="1" thickBot="1">
      <c r="A30" s="145" t="s">
        <v>33</v>
      </c>
      <c r="B30" s="146" t="s">
        <v>34</v>
      </c>
      <c r="C30" s="154">
        <v>900</v>
      </c>
      <c r="D30" s="154">
        <f>E30+F30</f>
        <v>1730306.61</v>
      </c>
      <c r="E30" s="154">
        <f t="shared" ref="E30:I30" si="0">E32+E37+E44+E47+E48</f>
        <v>1440463.6300000001</v>
      </c>
      <c r="F30" s="154">
        <f t="shared" si="0"/>
        <v>289842.98</v>
      </c>
      <c r="G30" s="154">
        <f t="shared" si="0"/>
        <v>24016757.470000003</v>
      </c>
      <c r="H30" s="154">
        <f t="shared" si="0"/>
        <v>21962174.580000002</v>
      </c>
      <c r="I30" s="154">
        <f t="shared" si="0"/>
        <v>2054582.89</v>
      </c>
      <c r="J30" s="12"/>
    </row>
    <row r="31" spans="1:10" ht="19.5" thickBot="1">
      <c r="A31" s="143"/>
      <c r="B31" s="144" t="s">
        <v>35</v>
      </c>
      <c r="C31" s="152"/>
      <c r="D31" s="153"/>
      <c r="E31" s="153"/>
      <c r="F31" s="153"/>
      <c r="G31" s="153"/>
      <c r="H31" s="153"/>
      <c r="I31" s="153"/>
      <c r="J31" s="12"/>
    </row>
    <row r="32" spans="1:10" ht="32.25" thickBot="1">
      <c r="A32" s="143" t="s">
        <v>36</v>
      </c>
      <c r="B32" s="144" t="s">
        <v>37</v>
      </c>
      <c r="C32" s="152">
        <v>210</v>
      </c>
      <c r="D32" s="152">
        <f>D34+D35+D36</f>
        <v>1469494.08</v>
      </c>
      <c r="E32" s="152">
        <f>E34+E35+E36</f>
        <v>1371838.27</v>
      </c>
      <c r="F32" s="152">
        <f>F34+F35+F36</f>
        <v>97655.81</v>
      </c>
      <c r="G32" s="152">
        <f t="shared" ref="G32:I32" si="1">G34+G35+G36</f>
        <v>22548706.140000001</v>
      </c>
      <c r="H32" s="152">
        <f t="shared" si="1"/>
        <v>21552028.950000003</v>
      </c>
      <c r="I32" s="152">
        <f t="shared" si="1"/>
        <v>996677.19000000006</v>
      </c>
      <c r="J32" s="12"/>
    </row>
    <row r="33" spans="1:10" ht="16.5" thickBot="1">
      <c r="A33" s="143"/>
      <c r="B33" s="144" t="s">
        <v>38</v>
      </c>
      <c r="C33" s="144"/>
      <c r="D33" s="144"/>
      <c r="E33" s="144"/>
      <c r="F33" s="144"/>
      <c r="G33" s="144"/>
      <c r="H33" s="144"/>
      <c r="I33" s="144"/>
      <c r="J33" s="12"/>
    </row>
    <row r="34" spans="1:10" ht="16.5" thickBot="1">
      <c r="A34" s="143" t="s">
        <v>39</v>
      </c>
      <c r="B34" s="144" t="s">
        <v>40</v>
      </c>
      <c r="C34" s="144">
        <v>211</v>
      </c>
      <c r="D34" s="144">
        <f>E34+F34</f>
        <v>1404665.76</v>
      </c>
      <c r="E34" s="144">
        <v>1316480.96</v>
      </c>
      <c r="F34" s="144">
        <v>88184.8</v>
      </c>
      <c r="G34" s="144">
        <f>H34+I34</f>
        <v>17478893.960000001</v>
      </c>
      <c r="H34" s="144">
        <f>6147588.65+2287288.7+3012349.87+4013928.45+1316480.96</f>
        <v>16777636.630000003</v>
      </c>
      <c r="I34" s="144">
        <f>33000+85172.82+196220.88+128391.47+109717.36+60570+88184.8</f>
        <v>701257.33000000007</v>
      </c>
      <c r="J34" s="12"/>
    </row>
    <row r="35" spans="1:10" ht="16.5" thickBot="1">
      <c r="A35" s="143" t="s">
        <v>41</v>
      </c>
      <c r="B35" s="144" t="s">
        <v>42</v>
      </c>
      <c r="C35" s="144">
        <v>212</v>
      </c>
      <c r="D35" s="144">
        <f>E35+F35</f>
        <v>6828.32</v>
      </c>
      <c r="E35" s="144"/>
      <c r="F35" s="144">
        <v>6828.32</v>
      </c>
      <c r="G35" s="144">
        <f>H35+I35</f>
        <v>43311.28</v>
      </c>
      <c r="H35" s="144"/>
      <c r="I35" s="144">
        <f>5600+11200+5600+5400+8682.96+6828.32</f>
        <v>43311.28</v>
      </c>
      <c r="J35" s="12"/>
    </row>
    <row r="36" spans="1:10" ht="16.5" thickBot="1">
      <c r="A36" s="143" t="s">
        <v>43</v>
      </c>
      <c r="B36" s="144" t="s">
        <v>44</v>
      </c>
      <c r="C36" s="144">
        <v>213</v>
      </c>
      <c r="D36" s="144">
        <f>E36+F36</f>
        <v>58000</v>
      </c>
      <c r="E36" s="144">
        <v>55357.31</v>
      </c>
      <c r="F36" s="144">
        <v>2642.69</v>
      </c>
      <c r="G36" s="144">
        <f>H36+I36</f>
        <v>5026500.8999999994</v>
      </c>
      <c r="H36" s="144">
        <f>666887.56+1143327.68+689694.05+2219125.72+55357.31</f>
        <v>4774392.3199999994</v>
      </c>
      <c r="I36" s="144">
        <f>44313.27+83129.36+65210.17+56813.09+2642.69</f>
        <v>252108.58</v>
      </c>
      <c r="J36" s="12"/>
    </row>
    <row r="37" spans="1:10" ht="19.5" thickBot="1">
      <c r="A37" s="143" t="s">
        <v>45</v>
      </c>
      <c r="B37" s="144" t="s">
        <v>46</v>
      </c>
      <c r="C37" s="152">
        <v>220</v>
      </c>
      <c r="D37" s="152">
        <f>E37+F37</f>
        <v>172472.55</v>
      </c>
      <c r="E37" s="152">
        <f>E38+E39+E40+E41+E42+E43</f>
        <v>4000</v>
      </c>
      <c r="F37" s="152">
        <f>F38+F39+F40+F41+F42+F43</f>
        <v>168472.55</v>
      </c>
      <c r="G37" s="152">
        <f>G39+G40+G41+G42+G43</f>
        <v>863450.6399999999</v>
      </c>
      <c r="H37" s="152">
        <f>H39+H40+H41+H42+H43</f>
        <v>4000</v>
      </c>
      <c r="I37" s="152">
        <f>I39+I40+I41+I42+I43</f>
        <v>859450.6399999999</v>
      </c>
      <c r="J37" s="12"/>
    </row>
    <row r="38" spans="1:10" ht="16.5" thickBot="1">
      <c r="A38" s="143"/>
      <c r="B38" s="144" t="s">
        <v>38</v>
      </c>
      <c r="C38" s="144"/>
      <c r="D38" s="144"/>
      <c r="E38" s="144"/>
      <c r="F38" s="144"/>
      <c r="G38" s="144"/>
      <c r="H38" s="144"/>
      <c r="I38" s="144"/>
      <c r="J38" s="12"/>
    </row>
    <row r="39" spans="1:10" ht="16.5" thickBot="1">
      <c r="A39" s="143" t="s">
        <v>47</v>
      </c>
      <c r="B39" s="144" t="s">
        <v>48</v>
      </c>
      <c r="C39" s="144">
        <v>221</v>
      </c>
      <c r="D39" s="144">
        <f>E39+F39</f>
        <v>6825.55</v>
      </c>
      <c r="E39" s="144">
        <v>4000</v>
      </c>
      <c r="F39" s="144">
        <v>2825.55</v>
      </c>
      <c r="G39" s="144">
        <f>H39+I39</f>
        <v>17086.37</v>
      </c>
      <c r="H39" s="144">
        <v>4000</v>
      </c>
      <c r="I39" s="144">
        <f>2965.06+2428.4+2433.71+2433.65+2825.55</f>
        <v>13086.369999999999</v>
      </c>
      <c r="J39" s="12"/>
    </row>
    <row r="40" spans="1:10" ht="26.25" customHeight="1" thickBot="1">
      <c r="A40" s="143" t="s">
        <v>49</v>
      </c>
      <c r="B40" s="144" t="s">
        <v>50</v>
      </c>
      <c r="C40" s="144">
        <v>222</v>
      </c>
      <c r="D40" s="144">
        <f t="shared" ref="D40:D43" si="2">E40+F40</f>
        <v>0</v>
      </c>
      <c r="E40" s="144"/>
      <c r="F40" s="144"/>
      <c r="G40" s="144">
        <f>H40+I40</f>
        <v>1366</v>
      </c>
      <c r="H40" s="144"/>
      <c r="I40" s="144">
        <v>1366</v>
      </c>
      <c r="J40" s="12"/>
    </row>
    <row r="41" spans="1:10" ht="29.25" customHeight="1" thickBot="1">
      <c r="A41" s="143" t="s">
        <v>51</v>
      </c>
      <c r="B41" s="144" t="s">
        <v>52</v>
      </c>
      <c r="C41" s="144">
        <v>223</v>
      </c>
      <c r="D41" s="144">
        <f t="shared" si="2"/>
        <v>21645.279999999999</v>
      </c>
      <c r="E41" s="144"/>
      <c r="F41" s="144">
        <v>21645.279999999999</v>
      </c>
      <c r="G41" s="144">
        <f>H41+I41</f>
        <v>229145.4</v>
      </c>
      <c r="H41" s="144"/>
      <c r="I41" s="144">
        <f>88934.39+32184.19+44617.42+41764.12+21645.28</f>
        <v>229145.4</v>
      </c>
      <c r="J41" s="12"/>
    </row>
    <row r="42" spans="1:10" ht="16.5" thickBot="1">
      <c r="A42" s="143" t="s">
        <v>53</v>
      </c>
      <c r="B42" s="144" t="s">
        <v>54</v>
      </c>
      <c r="C42" s="144">
        <v>225</v>
      </c>
      <c r="D42" s="144">
        <f t="shared" si="2"/>
        <v>120479.87</v>
      </c>
      <c r="E42" s="144"/>
      <c r="F42" s="144">
        <v>120479.87</v>
      </c>
      <c r="G42" s="144">
        <f>H42+I42</f>
        <v>319302.44</v>
      </c>
      <c r="H42" s="144"/>
      <c r="I42" s="144">
        <f>75980.5+26225.01+50021.36+46595.7+120479.87</f>
        <v>319302.44</v>
      </c>
      <c r="J42" s="12"/>
    </row>
    <row r="43" spans="1:10" ht="30" customHeight="1" thickBot="1">
      <c r="A43" s="143" t="s">
        <v>55</v>
      </c>
      <c r="B43" s="144" t="s">
        <v>56</v>
      </c>
      <c r="C43" s="144">
        <v>226</v>
      </c>
      <c r="D43" s="144">
        <f t="shared" si="2"/>
        <v>23521.85</v>
      </c>
      <c r="E43" s="144"/>
      <c r="F43" s="144">
        <v>23521.85</v>
      </c>
      <c r="G43" s="144">
        <f>H43+I43</f>
        <v>296550.42999999993</v>
      </c>
      <c r="H43" s="144"/>
      <c r="I43" s="144">
        <f>16491.07+19937.75+24154.87+41054.6+48459.2+122931.09+23521.85</f>
        <v>296550.42999999993</v>
      </c>
      <c r="J43" s="12"/>
    </row>
    <row r="44" spans="1:10" ht="19.5" thickBot="1">
      <c r="A44" s="143" t="s">
        <v>57</v>
      </c>
      <c r="B44" s="144" t="s">
        <v>58</v>
      </c>
      <c r="C44" s="152">
        <v>260</v>
      </c>
      <c r="D44" s="147">
        <f t="shared" ref="D44:G44" si="3">D46</f>
        <v>0</v>
      </c>
      <c r="E44" s="147"/>
      <c r="F44" s="147"/>
      <c r="G44" s="147">
        <f t="shared" si="3"/>
        <v>0</v>
      </c>
      <c r="H44" s="147"/>
      <c r="I44" s="147"/>
      <c r="J44" s="12"/>
    </row>
    <row r="45" spans="1:10" ht="16.5" thickBot="1">
      <c r="A45" s="143"/>
      <c r="B45" s="144" t="s">
        <v>38</v>
      </c>
      <c r="C45" s="144"/>
      <c r="D45" s="144"/>
      <c r="E45" s="144"/>
      <c r="F45" s="144"/>
      <c r="G45" s="144"/>
      <c r="H45" s="144"/>
      <c r="I45" s="144"/>
      <c r="J45" s="12"/>
    </row>
    <row r="46" spans="1:10" ht="16.5" thickBot="1">
      <c r="A46" s="143" t="s">
        <v>59</v>
      </c>
      <c r="B46" s="144" t="s">
        <v>60</v>
      </c>
      <c r="C46" s="144">
        <v>262</v>
      </c>
      <c r="D46" s="144"/>
      <c r="E46" s="144"/>
      <c r="F46" s="144"/>
      <c r="G46" s="144"/>
      <c r="H46" s="144"/>
      <c r="I46" s="144"/>
      <c r="J46" s="12"/>
    </row>
    <row r="47" spans="1:10" ht="38.25" customHeight="1" thickBot="1">
      <c r="A47" s="143" t="s">
        <v>61</v>
      </c>
      <c r="B47" s="144" t="s">
        <v>62</v>
      </c>
      <c r="C47" s="152">
        <v>290</v>
      </c>
      <c r="D47" s="152">
        <f>E47+F47</f>
        <v>15847.87</v>
      </c>
      <c r="E47" s="152"/>
      <c r="F47" s="152">
        <v>15847.87</v>
      </c>
      <c r="G47" s="152">
        <f>H47+I47</f>
        <v>67030.64</v>
      </c>
      <c r="H47" s="152"/>
      <c r="I47" s="152">
        <f>4330.45+7542.98+39309.34+15847.87</f>
        <v>67030.64</v>
      </c>
      <c r="J47" s="12"/>
    </row>
    <row r="48" spans="1:10" ht="33" customHeight="1" thickBot="1">
      <c r="A48" s="143" t="s">
        <v>63</v>
      </c>
      <c r="B48" s="144" t="s">
        <v>64</v>
      </c>
      <c r="C48" s="152">
        <v>300</v>
      </c>
      <c r="D48" s="152">
        <f t="shared" ref="D48:I48" si="4">D50+D51</f>
        <v>72492.11</v>
      </c>
      <c r="E48" s="152">
        <f t="shared" si="4"/>
        <v>64625.36</v>
      </c>
      <c r="F48" s="152">
        <f>F50+F51</f>
        <v>7866.75</v>
      </c>
      <c r="G48" s="152">
        <f t="shared" si="4"/>
        <v>537570.05000000005</v>
      </c>
      <c r="H48" s="152">
        <f t="shared" si="4"/>
        <v>406145.63</v>
      </c>
      <c r="I48" s="152">
        <f t="shared" si="4"/>
        <v>131424.41999999998</v>
      </c>
      <c r="J48" s="12"/>
    </row>
    <row r="49" spans="1:10" ht="16.5" thickBot="1">
      <c r="A49" s="143"/>
      <c r="B49" s="144" t="s">
        <v>38</v>
      </c>
      <c r="C49" s="144"/>
      <c r="D49" s="144"/>
      <c r="E49" s="144"/>
      <c r="F49" s="144"/>
      <c r="G49" s="144"/>
      <c r="H49" s="144"/>
      <c r="I49" s="144"/>
      <c r="J49" s="12"/>
    </row>
    <row r="50" spans="1:10" ht="16.5" thickBot="1">
      <c r="A50" s="143" t="s">
        <v>65</v>
      </c>
      <c r="B50" s="144" t="s">
        <v>66</v>
      </c>
      <c r="C50" s="144">
        <v>310</v>
      </c>
      <c r="D50" s="144">
        <f>E50+F50</f>
        <v>0</v>
      </c>
      <c r="E50" s="144"/>
      <c r="F50" s="144"/>
      <c r="G50" s="144">
        <f>H50+I50</f>
        <v>260574.27000000002</v>
      </c>
      <c r="H50" s="144">
        <f>115940.23+49806.12+86317.92</f>
        <v>252064.27000000002</v>
      </c>
      <c r="I50" s="144">
        <f>-390+8900</f>
        <v>8510</v>
      </c>
      <c r="J50" s="12"/>
    </row>
    <row r="51" spans="1:10" ht="16.5" thickBot="1">
      <c r="A51" s="143" t="s">
        <v>67</v>
      </c>
      <c r="B51" s="144" t="s">
        <v>68</v>
      </c>
      <c r="C51" s="144">
        <v>340</v>
      </c>
      <c r="D51" s="144">
        <f>E51+F51</f>
        <v>72492.11</v>
      </c>
      <c r="E51" s="144">
        <f>64625.36</f>
        <v>64625.36</v>
      </c>
      <c r="F51" s="144">
        <f>1265+6601.75</f>
        <v>7866.75</v>
      </c>
      <c r="G51" s="144">
        <f>H51+I51</f>
        <v>276995.77999999997</v>
      </c>
      <c r="H51" s="144">
        <f>41720+20000+27736+64625.36</f>
        <v>154081.35999999999</v>
      </c>
      <c r="I51" s="144">
        <f>63288.67+4515+47244+7866.75</f>
        <v>122914.42</v>
      </c>
      <c r="J51" s="12"/>
    </row>
    <row r="52" spans="1:10" ht="32.25" thickBot="1">
      <c r="A52" s="143" t="s">
        <v>69</v>
      </c>
      <c r="B52" s="144" t="s">
        <v>70</v>
      </c>
      <c r="C52" s="144" t="s">
        <v>26</v>
      </c>
      <c r="D52" s="144">
        <f>G27+D28-D30</f>
        <v>3806079.1599999992</v>
      </c>
      <c r="E52" s="144">
        <f>H27+E28-E30</f>
        <v>2128840.0499999998</v>
      </c>
      <c r="F52" s="144">
        <f>I27+F28-F30</f>
        <v>1677239.11</v>
      </c>
      <c r="G52" s="144">
        <f>G28-G30</f>
        <v>3806079.16</v>
      </c>
      <c r="H52" s="144">
        <f>H28-H30</f>
        <v>2128840.0500000007</v>
      </c>
      <c r="I52" s="144">
        <f>I28-I30</f>
        <v>1677239.11</v>
      </c>
      <c r="J52" s="12"/>
    </row>
    <row r="53" spans="1:10" ht="18.75">
      <c r="A53" s="23"/>
    </row>
    <row r="54" spans="1:10" ht="26.25" customHeight="1" thickBot="1">
      <c r="A54" s="24" t="s">
        <v>71</v>
      </c>
      <c r="B54" s="25"/>
      <c r="C54" s="26" t="s">
        <v>72</v>
      </c>
      <c r="D54" s="25"/>
      <c r="E54" s="26"/>
      <c r="F54" s="25"/>
      <c r="G54" s="26" t="s">
        <v>73</v>
      </c>
      <c r="H54" s="25"/>
      <c r="I54" s="25"/>
    </row>
    <row r="55" spans="1:10" ht="8.25" customHeight="1">
      <c r="A55" s="27"/>
      <c r="B55" s="27"/>
      <c r="C55" s="28" t="s">
        <v>74</v>
      </c>
      <c r="D55" s="27"/>
      <c r="E55" s="28" t="s">
        <v>75</v>
      </c>
      <c r="F55" s="27"/>
      <c r="G55" s="28" t="s">
        <v>76</v>
      </c>
      <c r="H55" s="29"/>
      <c r="I55" s="29"/>
    </row>
    <row r="56" spans="1:10" ht="24.75" thickBot="1">
      <c r="A56" s="24" t="s">
        <v>77</v>
      </c>
      <c r="B56" s="25"/>
      <c r="C56" s="26"/>
      <c r="D56" s="25"/>
      <c r="E56" s="26" t="s">
        <v>78</v>
      </c>
      <c r="F56" s="25"/>
      <c r="G56" s="25"/>
      <c r="H56" s="25"/>
      <c r="I56" s="25"/>
    </row>
    <row r="57" spans="1:10" ht="10.5" customHeight="1">
      <c r="A57" s="29"/>
      <c r="B57" s="27"/>
      <c r="C57" s="29" t="s">
        <v>75</v>
      </c>
      <c r="D57" s="27"/>
      <c r="E57" s="29" t="s">
        <v>76</v>
      </c>
      <c r="F57" s="27"/>
      <c r="G57" s="27"/>
      <c r="H57" s="27"/>
      <c r="I57" s="27"/>
    </row>
    <row r="58" spans="1:10" ht="24.75" thickBot="1">
      <c r="A58" s="24" t="s">
        <v>79</v>
      </c>
      <c r="B58" s="25"/>
      <c r="C58" s="30" t="s">
        <v>77</v>
      </c>
      <c r="D58" s="25"/>
      <c r="E58" s="30"/>
      <c r="F58" s="25"/>
      <c r="G58" s="26" t="s">
        <v>78</v>
      </c>
      <c r="H58" s="25"/>
      <c r="I58" s="26" t="s">
        <v>80</v>
      </c>
    </row>
    <row r="59" spans="1:10">
      <c r="A59" s="29"/>
      <c r="B59" s="27"/>
      <c r="C59" s="29" t="s">
        <v>74</v>
      </c>
      <c r="D59" s="27"/>
      <c r="E59" s="29" t="s">
        <v>75</v>
      </c>
      <c r="F59" s="27"/>
      <c r="G59" s="29" t="s">
        <v>76</v>
      </c>
      <c r="H59" s="27"/>
      <c r="I59" s="29" t="s">
        <v>81</v>
      </c>
    </row>
    <row r="60" spans="1:10" ht="18.75">
      <c r="A60" s="7"/>
    </row>
    <row r="61" spans="1:10" ht="18.75">
      <c r="A61" s="7"/>
    </row>
    <row r="62" spans="1:10" ht="18.75">
      <c r="A62" s="7"/>
    </row>
    <row r="63" spans="1:10" ht="18.75">
      <c r="A63" s="7"/>
    </row>
    <row r="64" spans="1:10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7" spans="1:1" ht="15.75">
      <c r="A77" s="1"/>
    </row>
    <row r="78" spans="1:1" ht="15.75">
      <c r="A78" s="1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2"/>
    </row>
    <row r="85" spans="1:1" ht="15.75">
      <c r="A85" s="1"/>
    </row>
    <row r="86" spans="1:1" ht="18.75">
      <c r="A86" s="31"/>
    </row>
    <row r="87" spans="1:1" ht="15.75">
      <c r="A87" s="5" t="s">
        <v>84</v>
      </c>
    </row>
    <row r="88" spans="1:1" ht="15.75">
      <c r="A88" s="5" t="s">
        <v>85</v>
      </c>
    </row>
    <row r="89" spans="1:1" ht="15.75">
      <c r="A89" s="5" t="s">
        <v>86</v>
      </c>
    </row>
    <row r="90" spans="1:1" ht="15.75">
      <c r="A90" s="4"/>
    </row>
    <row r="91" spans="1:1" ht="15.75">
      <c r="A91" s="4"/>
    </row>
    <row r="92" spans="1:1" ht="15.75">
      <c r="A92" s="4" t="s">
        <v>9</v>
      </c>
    </row>
    <row r="93" spans="1:1" ht="18.75">
      <c r="A93" s="6"/>
    </row>
    <row r="94" spans="1:1" ht="15.75">
      <c r="A94" s="4" t="s">
        <v>87</v>
      </c>
    </row>
    <row r="95" spans="1:1" ht="15.75">
      <c r="A95" s="4"/>
    </row>
    <row r="96" spans="1:1" ht="18.75">
      <c r="A96" s="7"/>
    </row>
    <row r="97" spans="1:4" ht="16.5" thickBot="1">
      <c r="A97" s="4"/>
    </row>
    <row r="98" spans="1:4" ht="47.25">
      <c r="A98" s="191" t="s">
        <v>88</v>
      </c>
      <c r="B98" s="191" t="s">
        <v>89</v>
      </c>
      <c r="C98" s="32" t="s">
        <v>14</v>
      </c>
      <c r="D98" s="191" t="s">
        <v>92</v>
      </c>
    </row>
    <row r="99" spans="1:4" ht="31.5">
      <c r="A99" s="192"/>
      <c r="B99" s="192"/>
      <c r="C99" s="33" t="s">
        <v>90</v>
      </c>
      <c r="D99" s="192"/>
    </row>
    <row r="100" spans="1:4" ht="47.25">
      <c r="A100" s="192"/>
      <c r="B100" s="192"/>
      <c r="C100" s="33" t="s">
        <v>16</v>
      </c>
      <c r="D100" s="192"/>
    </row>
    <row r="101" spans="1:4" ht="47.25">
      <c r="A101" s="192"/>
      <c r="B101" s="192"/>
      <c r="C101" s="33" t="s">
        <v>17</v>
      </c>
      <c r="D101" s="192"/>
    </row>
    <row r="102" spans="1:4" ht="32.25" thickBot="1">
      <c r="A102" s="193"/>
      <c r="B102" s="193"/>
      <c r="C102" s="34" t="s">
        <v>91</v>
      </c>
      <c r="D102" s="193"/>
    </row>
    <row r="103" spans="1:4" ht="16.5" thickBot="1">
      <c r="A103" s="85">
        <v>1</v>
      </c>
      <c r="B103" s="34">
        <v>2</v>
      </c>
      <c r="C103" s="34">
        <v>3</v>
      </c>
      <c r="D103" s="34">
        <v>4</v>
      </c>
    </row>
    <row r="104" spans="1:4" ht="16.5" thickBot="1">
      <c r="A104" s="85" t="s">
        <v>24</v>
      </c>
      <c r="B104" s="91"/>
      <c r="C104" s="91"/>
      <c r="D104" s="35"/>
    </row>
    <row r="105" spans="1:4" ht="16.5" thickBot="1">
      <c r="A105" s="85" t="s">
        <v>93</v>
      </c>
      <c r="B105" s="91"/>
      <c r="C105" s="91"/>
      <c r="D105" s="35"/>
    </row>
    <row r="106" spans="1:4" ht="16.5" thickBot="1">
      <c r="A106" s="85" t="s">
        <v>94</v>
      </c>
      <c r="B106" s="91"/>
      <c r="C106" s="34"/>
      <c r="D106" s="35"/>
    </row>
    <row r="107" spans="1:4" ht="16.5" thickBot="1">
      <c r="A107" s="85"/>
      <c r="B107" s="91" t="s">
        <v>95</v>
      </c>
      <c r="C107" s="34"/>
      <c r="D107" s="35"/>
    </row>
    <row r="108" spans="1:4" ht="15.75">
      <c r="A108" s="191" t="s">
        <v>96</v>
      </c>
      <c r="B108" s="90" t="s">
        <v>97</v>
      </c>
      <c r="C108" s="191"/>
      <c r="D108" s="194"/>
    </row>
    <row r="109" spans="1:4" ht="16.5" thickBot="1">
      <c r="A109" s="193"/>
      <c r="B109" s="91" t="s">
        <v>98</v>
      </c>
      <c r="C109" s="193"/>
      <c r="D109" s="195"/>
    </row>
    <row r="110" spans="1:4" ht="15.75">
      <c r="A110" s="3"/>
    </row>
    <row r="111" spans="1:4" ht="15.75">
      <c r="A111" s="3"/>
    </row>
    <row r="112" spans="1:4" ht="15.75">
      <c r="A112" s="3"/>
    </row>
    <row r="113" spans="1:9" ht="60.75" thickBot="1">
      <c r="A113" s="37" t="s">
        <v>99</v>
      </c>
      <c r="B113" s="25"/>
      <c r="C113" s="26"/>
      <c r="D113" s="25"/>
      <c r="E113" s="26"/>
      <c r="F113" s="25"/>
      <c r="G113" s="26"/>
      <c r="H113" s="25"/>
      <c r="I113" s="25"/>
    </row>
    <row r="114" spans="1:9">
      <c r="A114" s="27"/>
      <c r="B114" s="27"/>
      <c r="C114" s="28" t="s">
        <v>74</v>
      </c>
      <c r="D114" s="27"/>
      <c r="E114" s="28" t="s">
        <v>75</v>
      </c>
      <c r="F114" s="27"/>
      <c r="G114" s="28" t="s">
        <v>76</v>
      </c>
      <c r="H114" s="29"/>
      <c r="I114" s="29"/>
    </row>
    <row r="115" spans="1:9" ht="24.75" thickBot="1">
      <c r="A115" s="24" t="s">
        <v>77</v>
      </c>
      <c r="B115" s="25"/>
      <c r="C115" s="26"/>
      <c r="D115" s="25"/>
      <c r="E115" s="26"/>
      <c r="F115" s="25"/>
      <c r="G115" s="25"/>
      <c r="H115" s="25"/>
      <c r="I115" s="25"/>
    </row>
    <row r="116" spans="1:9">
      <c r="A116" s="29"/>
      <c r="B116" s="27"/>
      <c r="C116" s="29" t="s">
        <v>75</v>
      </c>
      <c r="D116" s="27"/>
      <c r="E116" s="29" t="s">
        <v>76</v>
      </c>
      <c r="F116" s="27"/>
      <c r="G116" s="27"/>
      <c r="H116" s="27"/>
      <c r="I116" s="27"/>
    </row>
    <row r="117" spans="1:9" ht="24.75" thickBot="1">
      <c r="A117" s="24" t="s">
        <v>79</v>
      </c>
      <c r="B117" s="25"/>
      <c r="C117" s="30"/>
      <c r="D117" s="25"/>
      <c r="E117" s="30"/>
      <c r="F117" s="25"/>
      <c r="G117" s="26"/>
      <c r="H117" s="25"/>
      <c r="I117" s="26"/>
    </row>
    <row r="118" spans="1:9">
      <c r="A118" s="29"/>
      <c r="B118" s="27"/>
      <c r="C118" s="29" t="s">
        <v>74</v>
      </c>
      <c r="D118" s="27"/>
      <c r="E118" s="29" t="s">
        <v>75</v>
      </c>
      <c r="F118" s="27"/>
      <c r="G118" s="29" t="s">
        <v>76</v>
      </c>
      <c r="H118" s="27"/>
      <c r="I118" s="29" t="s">
        <v>81</v>
      </c>
    </row>
    <row r="119" spans="1:9" ht="18.75">
      <c r="A119" s="7"/>
    </row>
    <row r="120" spans="1:9" ht="18.75">
      <c r="A120" s="7"/>
    </row>
    <row r="121" spans="1:9" ht="18.75">
      <c r="A121" s="7"/>
    </row>
    <row r="122" spans="1:9" ht="18.75">
      <c r="A122" s="7"/>
    </row>
    <row r="123" spans="1:9" ht="18.75">
      <c r="A123" s="7"/>
    </row>
  </sheetData>
  <mergeCells count="23">
    <mergeCell ref="A108:A109"/>
    <mergeCell ref="C108:C109"/>
    <mergeCell ref="D108:D109"/>
    <mergeCell ref="G28:G29"/>
    <mergeCell ref="H28:H29"/>
    <mergeCell ref="I28:I29"/>
    <mergeCell ref="J28:J29"/>
    <mergeCell ref="A98:A102"/>
    <mergeCell ref="B98:B102"/>
    <mergeCell ref="D98:D102"/>
    <mergeCell ref="A28:A29"/>
    <mergeCell ref="B28:B29"/>
    <mergeCell ref="C28:C29"/>
    <mergeCell ref="D28:D29"/>
    <mergeCell ref="E28:E29"/>
    <mergeCell ref="F28:F29"/>
    <mergeCell ref="D20:D24"/>
    <mergeCell ref="E20:F22"/>
    <mergeCell ref="G20:G24"/>
    <mergeCell ref="H20:I23"/>
    <mergeCell ref="J20:J22"/>
    <mergeCell ref="E23:E24"/>
    <mergeCell ref="F23:F24"/>
  </mergeCells>
  <pageMargins left="0.7" right="0.7" top="0.75" bottom="0.75" header="0.3" footer="0.3"/>
  <pageSetup paperSize="9" scale="6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23"/>
  <sheetViews>
    <sheetView topLeftCell="A66" workbookViewId="0">
      <selection activeCell="B84" sqref="B84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6.7109375" customWidth="1"/>
    <col min="7" max="7" width="18.85546875" customWidth="1"/>
    <col min="8" max="8" width="23.7109375" customWidth="1"/>
    <col min="9" max="9" width="26.5703125" customWidth="1"/>
    <col min="10" max="10" width="36.28515625" customWidth="1"/>
  </cols>
  <sheetData>
    <row r="1" spans="1:8" ht="23.25">
      <c r="G1" s="77" t="s">
        <v>127</v>
      </c>
    </row>
    <row r="2" spans="1:8" ht="15.75">
      <c r="A2" s="69"/>
      <c r="B2" s="43"/>
      <c r="C2" s="43"/>
      <c r="D2" s="43"/>
      <c r="E2" s="119"/>
      <c r="F2" s="119"/>
      <c r="G2" s="69" t="s">
        <v>0</v>
      </c>
      <c r="H2" s="69"/>
    </row>
    <row r="3" spans="1:8" ht="15.75">
      <c r="A3" s="69"/>
      <c r="B3" s="43"/>
      <c r="C3" s="43"/>
      <c r="D3" s="43"/>
      <c r="E3" s="119"/>
      <c r="F3" s="119"/>
      <c r="G3" s="69" t="s">
        <v>1</v>
      </c>
      <c r="H3" s="69"/>
    </row>
    <row r="4" spans="1:8" ht="15.75">
      <c r="A4" s="69"/>
      <c r="B4" s="43"/>
      <c r="C4" s="43"/>
      <c r="D4" s="43"/>
      <c r="E4" s="119"/>
      <c r="F4" s="119"/>
      <c r="G4" s="69" t="s">
        <v>2</v>
      </c>
      <c r="H4" s="69"/>
    </row>
    <row r="5" spans="1:8" ht="15.75">
      <c r="A5" s="69"/>
      <c r="B5" s="43"/>
      <c r="C5" s="43"/>
      <c r="D5" s="43"/>
      <c r="E5" s="119"/>
      <c r="F5" s="119"/>
      <c r="G5" s="69" t="s">
        <v>3</v>
      </c>
      <c r="H5" s="69"/>
    </row>
    <row r="6" spans="1:8" ht="15.75">
      <c r="A6" s="69"/>
      <c r="B6" s="43"/>
      <c r="C6" s="43"/>
      <c r="D6" s="43"/>
      <c r="E6" s="119"/>
      <c r="F6" s="119"/>
      <c r="G6" s="69" t="s">
        <v>4</v>
      </c>
      <c r="H6" s="69"/>
    </row>
    <row r="7" spans="1:8" ht="15.75">
      <c r="A7" s="69"/>
      <c r="B7" s="43"/>
      <c r="C7" s="43"/>
      <c r="D7" s="43"/>
      <c r="E7" s="119"/>
      <c r="F7" s="119"/>
      <c r="G7" s="69" t="s">
        <v>5</v>
      </c>
      <c r="H7" s="69"/>
    </row>
    <row r="8" spans="1:8" ht="15.75">
      <c r="A8" s="69"/>
      <c r="B8" s="43"/>
      <c r="C8" s="43"/>
      <c r="D8" s="43"/>
      <c r="E8" s="119"/>
      <c r="F8" s="119"/>
      <c r="G8" s="69" t="s">
        <v>6</v>
      </c>
      <c r="H8" s="69"/>
    </row>
    <row r="9" spans="1:8" ht="15.75">
      <c r="A9" s="44"/>
      <c r="B9" s="43"/>
      <c r="C9" s="43"/>
      <c r="D9" s="43"/>
      <c r="E9" s="119"/>
      <c r="F9" s="119"/>
      <c r="G9" s="69" t="s">
        <v>7</v>
      </c>
      <c r="H9" s="44"/>
    </row>
    <row r="10" spans="1:8" ht="15.75">
      <c r="A10" s="69"/>
      <c r="B10" s="43"/>
      <c r="C10" s="43"/>
      <c r="D10" s="43"/>
      <c r="E10" s="119"/>
      <c r="F10" s="119"/>
      <c r="G10" s="69" t="s">
        <v>8</v>
      </c>
      <c r="H10" s="69"/>
    </row>
    <row r="11" spans="1:8" ht="15.75">
      <c r="A11" s="45"/>
      <c r="B11" s="43"/>
      <c r="C11" s="43"/>
      <c r="D11" s="43"/>
      <c r="E11" s="43"/>
      <c r="F11" s="43"/>
      <c r="G11" s="43"/>
      <c r="H11" s="43"/>
    </row>
    <row r="12" spans="1:8" ht="18.75">
      <c r="A12" s="47"/>
      <c r="B12" s="49" t="s">
        <v>101</v>
      </c>
      <c r="C12" s="49"/>
      <c r="D12" s="49"/>
      <c r="E12" s="48"/>
      <c r="F12" s="48"/>
      <c r="G12" s="48"/>
      <c r="H12" s="48"/>
    </row>
    <row r="13" spans="1:8" ht="15.75">
      <c r="A13" s="43"/>
      <c r="B13" s="50" t="s">
        <v>100</v>
      </c>
      <c r="C13" s="51"/>
      <c r="D13" s="51"/>
      <c r="E13" s="51"/>
      <c r="F13" s="43"/>
      <c r="G13" s="43"/>
      <c r="H13" s="43"/>
    </row>
    <row r="14" spans="1:8" ht="15.75">
      <c r="A14" s="45"/>
      <c r="B14" s="43"/>
      <c r="C14" s="43"/>
      <c r="D14" s="43"/>
      <c r="E14" s="43"/>
      <c r="F14" s="43"/>
      <c r="G14" s="43"/>
      <c r="H14" s="43"/>
    </row>
    <row r="15" spans="1:8" ht="18.75">
      <c r="A15" s="46"/>
      <c r="B15" s="51" t="s">
        <v>131</v>
      </c>
      <c r="C15" s="43"/>
      <c r="D15" s="43"/>
      <c r="E15" s="43"/>
      <c r="F15" s="43"/>
      <c r="G15" s="43"/>
      <c r="H15" s="43"/>
    </row>
    <row r="16" spans="1:8" ht="18.75">
      <c r="A16" s="6"/>
    </row>
    <row r="17" spans="1:10" ht="15.75">
      <c r="A17" s="4"/>
    </row>
    <row r="18" spans="1:10" ht="15.75">
      <c r="A18" s="4"/>
    </row>
    <row r="19" spans="1:10" ht="19.5" thickBot="1">
      <c r="A19" s="7"/>
    </row>
    <row r="20" spans="1:10" ht="47.25">
      <c r="A20" s="105" t="s">
        <v>10</v>
      </c>
      <c r="B20" s="108" t="s">
        <v>12</v>
      </c>
      <c r="C20" s="108" t="s">
        <v>14</v>
      </c>
      <c r="D20" s="179" t="s">
        <v>19</v>
      </c>
      <c r="E20" s="182" t="s">
        <v>20</v>
      </c>
      <c r="F20" s="183"/>
      <c r="G20" s="179" t="s">
        <v>21</v>
      </c>
      <c r="H20" s="182" t="s">
        <v>20</v>
      </c>
      <c r="I20" s="183"/>
      <c r="J20" s="188"/>
    </row>
    <row r="21" spans="1:10" ht="31.5">
      <c r="A21" s="106" t="s">
        <v>11</v>
      </c>
      <c r="B21" s="109" t="s">
        <v>13</v>
      </c>
      <c r="C21" s="109" t="s">
        <v>15</v>
      </c>
      <c r="D21" s="180"/>
      <c r="E21" s="184"/>
      <c r="F21" s="185"/>
      <c r="G21" s="180"/>
      <c r="H21" s="184"/>
      <c r="I21" s="185"/>
      <c r="J21" s="188"/>
    </row>
    <row r="22" spans="1:10" ht="48" thickBot="1">
      <c r="A22" s="8"/>
      <c r="B22" s="10"/>
      <c r="C22" s="109" t="s">
        <v>16</v>
      </c>
      <c r="D22" s="180"/>
      <c r="E22" s="186"/>
      <c r="F22" s="187"/>
      <c r="G22" s="180"/>
      <c r="H22" s="184"/>
      <c r="I22" s="185"/>
      <c r="J22" s="188"/>
    </row>
    <row r="23" spans="1:10" ht="48" thickBot="1">
      <c r="A23" s="8"/>
      <c r="B23" s="10"/>
      <c r="C23" s="109" t="s">
        <v>17</v>
      </c>
      <c r="D23" s="180"/>
      <c r="E23" s="179" t="s">
        <v>22</v>
      </c>
      <c r="F23" s="179" t="s">
        <v>23</v>
      </c>
      <c r="G23" s="180"/>
      <c r="H23" s="186"/>
      <c r="I23" s="187"/>
      <c r="J23" s="12"/>
    </row>
    <row r="24" spans="1:10" ht="32.25" thickBot="1">
      <c r="A24" s="9"/>
      <c r="B24" s="11"/>
      <c r="C24" s="110" t="s">
        <v>18</v>
      </c>
      <c r="D24" s="181"/>
      <c r="E24" s="181"/>
      <c r="F24" s="181"/>
      <c r="G24" s="181"/>
      <c r="H24" s="110" t="s">
        <v>22</v>
      </c>
      <c r="I24" s="110" t="s">
        <v>23</v>
      </c>
      <c r="J24" s="12"/>
    </row>
    <row r="25" spans="1:10" ht="16.5" thickBot="1">
      <c r="A25" s="107">
        <v>1</v>
      </c>
      <c r="B25" s="110">
        <v>2</v>
      </c>
      <c r="C25" s="110">
        <v>3</v>
      </c>
      <c r="D25" s="110">
        <v>4</v>
      </c>
      <c r="E25" s="110"/>
      <c r="F25" s="110"/>
      <c r="G25" s="110"/>
      <c r="H25" s="110">
        <v>5</v>
      </c>
      <c r="I25" s="110">
        <v>6</v>
      </c>
      <c r="J25" s="12"/>
    </row>
    <row r="26" spans="1:10" ht="29.25" customHeight="1" thickBot="1">
      <c r="A26" s="143" t="s">
        <v>24</v>
      </c>
      <c r="B26" s="144" t="s">
        <v>105</v>
      </c>
      <c r="C26" s="152" t="s">
        <v>26</v>
      </c>
      <c r="D26" s="152">
        <v>4197132</v>
      </c>
      <c r="E26" s="152">
        <v>3678309</v>
      </c>
      <c r="F26" s="152">
        <v>518823</v>
      </c>
      <c r="G26" s="152">
        <f>H26+I26</f>
        <v>50405589</v>
      </c>
      <c r="H26" s="152">
        <v>44139712</v>
      </c>
      <c r="I26" s="152">
        <v>6265877</v>
      </c>
      <c r="J26" s="12"/>
    </row>
    <row r="27" spans="1:10" ht="38.25" customHeight="1" thickBot="1">
      <c r="A27" s="143" t="s">
        <v>27</v>
      </c>
      <c r="B27" s="144" t="s">
        <v>28</v>
      </c>
      <c r="C27" s="152" t="s">
        <v>29</v>
      </c>
      <c r="D27" s="152">
        <f>E27+F27</f>
        <v>3806079.16</v>
      </c>
      <c r="E27" s="152">
        <v>2128840.0499999998</v>
      </c>
      <c r="F27" s="152">
        <v>1677239.11</v>
      </c>
      <c r="G27" s="152">
        <f>H27+I27</f>
        <v>3806079.16</v>
      </c>
      <c r="H27" s="152">
        <v>2128840.0499999998</v>
      </c>
      <c r="I27" s="152">
        <v>1677239.11</v>
      </c>
      <c r="J27" s="12"/>
    </row>
    <row r="28" spans="1:10" ht="27" customHeight="1">
      <c r="A28" s="204" t="s">
        <v>30</v>
      </c>
      <c r="B28" s="204" t="s">
        <v>31</v>
      </c>
      <c r="C28" s="206" t="s">
        <v>32</v>
      </c>
      <c r="D28" s="206">
        <f>E28+F28</f>
        <v>1972339.22</v>
      </c>
      <c r="E28" s="206">
        <v>1453517.22</v>
      </c>
      <c r="F28" s="206">
        <v>518822</v>
      </c>
      <c r="G28" s="206">
        <f>H28+I28</f>
        <v>29795175.850000001</v>
      </c>
      <c r="H28" s="206">
        <v>25544531.850000001</v>
      </c>
      <c r="I28" s="206">
        <v>4250644</v>
      </c>
      <c r="J28" s="188"/>
    </row>
    <row r="29" spans="1:10" ht="24" customHeight="1" thickBot="1">
      <c r="A29" s="205"/>
      <c r="B29" s="205"/>
      <c r="C29" s="207"/>
      <c r="D29" s="207"/>
      <c r="E29" s="207"/>
      <c r="F29" s="207"/>
      <c r="G29" s="207"/>
      <c r="H29" s="207"/>
      <c r="I29" s="207"/>
      <c r="J29" s="188"/>
    </row>
    <row r="30" spans="1:10" ht="47.25" customHeight="1" thickBot="1">
      <c r="A30" s="145" t="s">
        <v>33</v>
      </c>
      <c r="B30" s="146" t="s">
        <v>34</v>
      </c>
      <c r="C30" s="154">
        <v>900</v>
      </c>
      <c r="D30" s="154">
        <f>E30+F30</f>
        <v>2281550.88</v>
      </c>
      <c r="E30" s="154">
        <f t="shared" ref="E30:I30" si="0">E32+E37+E44+E47+E48</f>
        <v>1713627.27</v>
      </c>
      <c r="F30" s="154">
        <f t="shared" si="0"/>
        <v>567923.61</v>
      </c>
      <c r="G30" s="154">
        <f t="shared" si="0"/>
        <v>26298308.349999998</v>
      </c>
      <c r="H30" s="154">
        <f t="shared" si="0"/>
        <v>23675801.849999998</v>
      </c>
      <c r="I30" s="154">
        <f t="shared" si="0"/>
        <v>2622506.5</v>
      </c>
      <c r="J30" s="12"/>
    </row>
    <row r="31" spans="1:10" ht="16.5" thickBot="1">
      <c r="A31" s="143"/>
      <c r="B31" s="144" t="s">
        <v>35</v>
      </c>
      <c r="C31" s="144"/>
      <c r="D31" s="144"/>
      <c r="E31" s="144"/>
      <c r="F31" s="144"/>
      <c r="G31" s="144"/>
      <c r="H31" s="144"/>
      <c r="I31" s="144"/>
      <c r="J31" s="12"/>
    </row>
    <row r="32" spans="1:10" ht="32.25" thickBot="1">
      <c r="A32" s="143" t="s">
        <v>36</v>
      </c>
      <c r="B32" s="144" t="s">
        <v>37</v>
      </c>
      <c r="C32" s="144">
        <v>210</v>
      </c>
      <c r="D32" s="147">
        <f>D34+D35+D36</f>
        <v>1892948.76</v>
      </c>
      <c r="E32" s="147">
        <f>E34+E35+E36</f>
        <v>1595001.75</v>
      </c>
      <c r="F32" s="147">
        <f>F34+F35+F36</f>
        <v>297947.01</v>
      </c>
      <c r="G32" s="144">
        <f t="shared" ref="G32:I32" si="1">G34+G35+G36</f>
        <v>24441654.899999999</v>
      </c>
      <c r="H32" s="144">
        <f t="shared" si="1"/>
        <v>23147030.699999999</v>
      </c>
      <c r="I32" s="144">
        <f t="shared" si="1"/>
        <v>1294624.2</v>
      </c>
      <c r="J32" s="12"/>
    </row>
    <row r="33" spans="1:10" ht="16.5" thickBot="1">
      <c r="A33" s="143"/>
      <c r="B33" s="144" t="s">
        <v>38</v>
      </c>
      <c r="C33" s="144"/>
      <c r="D33" s="144"/>
      <c r="E33" s="144"/>
      <c r="F33" s="144"/>
      <c r="G33" s="144"/>
      <c r="H33" s="144"/>
      <c r="I33" s="144"/>
      <c r="J33" s="12"/>
    </row>
    <row r="34" spans="1:10" ht="16.5" thickBot="1">
      <c r="A34" s="143" t="s">
        <v>39</v>
      </c>
      <c r="B34" s="144" t="s">
        <v>40</v>
      </c>
      <c r="C34" s="144">
        <v>211</v>
      </c>
      <c r="D34" s="144">
        <f>E34+F34</f>
        <v>1653686.5</v>
      </c>
      <c r="E34" s="144">
        <f>1413653.61</f>
        <v>1413653.61</v>
      </c>
      <c r="F34" s="144">
        <v>240032.89</v>
      </c>
      <c r="G34" s="144">
        <f>H34+I34</f>
        <v>19132580.459999997</v>
      </c>
      <c r="H34" s="144">
        <v>18191290.239999998</v>
      </c>
      <c r="I34" s="144">
        <v>941290.22</v>
      </c>
      <c r="J34" s="12"/>
    </row>
    <row r="35" spans="1:10" ht="16.5" thickBot="1">
      <c r="A35" s="143" t="s">
        <v>41</v>
      </c>
      <c r="B35" s="144" t="s">
        <v>42</v>
      </c>
      <c r="C35" s="144">
        <v>212</v>
      </c>
      <c r="D35" s="144">
        <f>E35+F35</f>
        <v>5400</v>
      </c>
      <c r="E35" s="144"/>
      <c r="F35" s="144">
        <v>5400</v>
      </c>
      <c r="G35" s="144">
        <f>H35+I35</f>
        <v>48711.28</v>
      </c>
      <c r="H35" s="144"/>
      <c r="I35" s="144">
        <v>48711.28</v>
      </c>
      <c r="J35" s="12"/>
    </row>
    <row r="36" spans="1:10" ht="16.5" thickBot="1">
      <c r="A36" s="143" t="s">
        <v>43</v>
      </c>
      <c r="B36" s="144" t="s">
        <v>44</v>
      </c>
      <c r="C36" s="144">
        <v>213</v>
      </c>
      <c r="D36" s="144">
        <f>E36+F36</f>
        <v>233862.26</v>
      </c>
      <c r="E36" s="144">
        <v>181348.14</v>
      </c>
      <c r="F36" s="144">
        <v>52514.12</v>
      </c>
      <c r="G36" s="144">
        <f>H36+I36</f>
        <v>5260363.16</v>
      </c>
      <c r="H36" s="144">
        <v>4955740.46</v>
      </c>
      <c r="I36" s="144">
        <v>304622.7</v>
      </c>
      <c r="J36" s="12"/>
    </row>
    <row r="37" spans="1:10" ht="16.5" thickBot="1">
      <c r="A37" s="143" t="s">
        <v>45</v>
      </c>
      <c r="B37" s="144" t="s">
        <v>46</v>
      </c>
      <c r="C37" s="147">
        <v>220</v>
      </c>
      <c r="D37" s="147">
        <f>E37+F37</f>
        <v>175789.53999999998</v>
      </c>
      <c r="E37" s="147">
        <f>E38+E39+E40+E41+E42+E43</f>
        <v>0</v>
      </c>
      <c r="F37" s="147">
        <f>F38+F39+F40+F41+F42+F43</f>
        <v>175789.53999999998</v>
      </c>
      <c r="G37" s="147">
        <f>G39+G40+G41+G42+G43</f>
        <v>1039240.1799999999</v>
      </c>
      <c r="H37" s="147">
        <f>H39+H40+H41+H42+H43</f>
        <v>4000</v>
      </c>
      <c r="I37" s="147">
        <f>I39+I40+I41+I42+I43</f>
        <v>1035240.1799999999</v>
      </c>
      <c r="J37" s="12"/>
    </row>
    <row r="38" spans="1:10" ht="16.5" thickBot="1">
      <c r="A38" s="143"/>
      <c r="B38" s="144" t="s">
        <v>38</v>
      </c>
      <c r="C38" s="144"/>
      <c r="D38" s="144"/>
      <c r="E38" s="144"/>
      <c r="F38" s="144"/>
      <c r="G38" s="144"/>
      <c r="H38" s="144"/>
      <c r="I38" s="144"/>
      <c r="J38" s="12"/>
    </row>
    <row r="39" spans="1:10" ht="16.5" thickBot="1">
      <c r="A39" s="143" t="s">
        <v>47</v>
      </c>
      <c r="B39" s="144" t="s">
        <v>48</v>
      </c>
      <c r="C39" s="144">
        <v>221</v>
      </c>
      <c r="D39" s="144">
        <f>E39+F39</f>
        <v>0</v>
      </c>
      <c r="E39" s="144"/>
      <c r="F39" s="144"/>
      <c r="G39" s="144">
        <f>H39+I39</f>
        <v>17086.37</v>
      </c>
      <c r="H39" s="144">
        <v>4000</v>
      </c>
      <c r="I39" s="144">
        <f>2965.06+2428.4+2433.71+2433.65+2825.55</f>
        <v>13086.369999999999</v>
      </c>
      <c r="J39" s="12"/>
    </row>
    <row r="40" spans="1:10" ht="26.25" customHeight="1" thickBot="1">
      <c r="A40" s="143" t="s">
        <v>49</v>
      </c>
      <c r="B40" s="144" t="s">
        <v>50</v>
      </c>
      <c r="C40" s="144">
        <v>222</v>
      </c>
      <c r="D40" s="144">
        <f t="shared" ref="D40:D43" si="2">E40+F40</f>
        <v>0</v>
      </c>
      <c r="E40" s="144"/>
      <c r="F40" s="144"/>
      <c r="G40" s="144">
        <f>H40+I40</f>
        <v>1366</v>
      </c>
      <c r="H40" s="144"/>
      <c r="I40" s="144">
        <v>1366</v>
      </c>
      <c r="J40" s="12"/>
    </row>
    <row r="41" spans="1:10" ht="29.25" customHeight="1" thickBot="1">
      <c r="A41" s="143" t="s">
        <v>51</v>
      </c>
      <c r="B41" s="144" t="s">
        <v>52</v>
      </c>
      <c r="C41" s="144">
        <v>223</v>
      </c>
      <c r="D41" s="144">
        <f t="shared" si="2"/>
        <v>40581.449999999997</v>
      </c>
      <c r="E41" s="144"/>
      <c r="F41" s="144">
        <v>40581.449999999997</v>
      </c>
      <c r="G41" s="144">
        <f>H41+I41</f>
        <v>269726.84999999998</v>
      </c>
      <c r="H41" s="144"/>
      <c r="I41" s="144">
        <v>269726.84999999998</v>
      </c>
      <c r="J41" s="12"/>
    </row>
    <row r="42" spans="1:10" ht="16.5" thickBot="1">
      <c r="A42" s="143" t="s">
        <v>53</v>
      </c>
      <c r="B42" s="144" t="s">
        <v>54</v>
      </c>
      <c r="C42" s="144">
        <v>225</v>
      </c>
      <c r="D42" s="144">
        <f t="shared" si="2"/>
        <v>72294.509999999995</v>
      </c>
      <c r="E42" s="144"/>
      <c r="F42" s="144">
        <v>72294.509999999995</v>
      </c>
      <c r="G42" s="144">
        <f>H42+I42</f>
        <v>391596.95</v>
      </c>
      <c r="H42" s="144"/>
      <c r="I42" s="144">
        <v>391596.95</v>
      </c>
      <c r="J42" s="12"/>
    </row>
    <row r="43" spans="1:10" ht="30" customHeight="1" thickBot="1">
      <c r="A43" s="143" t="s">
        <v>55</v>
      </c>
      <c r="B43" s="144" t="s">
        <v>56</v>
      </c>
      <c r="C43" s="144">
        <v>226</v>
      </c>
      <c r="D43" s="144">
        <f t="shared" si="2"/>
        <v>62913.58</v>
      </c>
      <c r="E43" s="144"/>
      <c r="F43" s="144">
        <v>62913.58</v>
      </c>
      <c r="G43" s="144">
        <f>H43+I43</f>
        <v>359464.01</v>
      </c>
      <c r="H43" s="144"/>
      <c r="I43" s="144">
        <v>359464.01</v>
      </c>
      <c r="J43" s="12"/>
    </row>
    <row r="44" spans="1:10" ht="16.5" thickBot="1">
      <c r="A44" s="143" t="s">
        <v>57</v>
      </c>
      <c r="B44" s="144" t="s">
        <v>58</v>
      </c>
      <c r="C44" s="147">
        <v>260</v>
      </c>
      <c r="D44" s="147">
        <f t="shared" ref="D44:G44" si="3">D46</f>
        <v>0</v>
      </c>
      <c r="E44" s="147"/>
      <c r="F44" s="147"/>
      <c r="G44" s="147">
        <f t="shared" si="3"/>
        <v>0</v>
      </c>
      <c r="H44" s="147"/>
      <c r="I44" s="147"/>
      <c r="J44" s="12"/>
    </row>
    <row r="45" spans="1:10" ht="16.5" thickBot="1">
      <c r="A45" s="143"/>
      <c r="B45" s="144" t="s">
        <v>38</v>
      </c>
      <c r="C45" s="144"/>
      <c r="D45" s="144"/>
      <c r="E45" s="144"/>
      <c r="F45" s="144"/>
      <c r="G45" s="144"/>
      <c r="H45" s="144"/>
      <c r="I45" s="144"/>
      <c r="J45" s="12"/>
    </row>
    <row r="46" spans="1:10" ht="16.5" thickBot="1">
      <c r="A46" s="143" t="s">
        <v>59</v>
      </c>
      <c r="B46" s="144" t="s">
        <v>60</v>
      </c>
      <c r="C46" s="144">
        <v>262</v>
      </c>
      <c r="D46" s="144"/>
      <c r="E46" s="144"/>
      <c r="F46" s="144"/>
      <c r="G46" s="144"/>
      <c r="H46" s="144"/>
      <c r="I46" s="144"/>
      <c r="J46" s="12"/>
    </row>
    <row r="47" spans="1:10" ht="38.25" customHeight="1" thickBot="1">
      <c r="A47" s="143" t="s">
        <v>61</v>
      </c>
      <c r="B47" s="144" t="s">
        <v>62</v>
      </c>
      <c r="C47" s="147">
        <v>290</v>
      </c>
      <c r="D47" s="147">
        <f>E47+F47</f>
        <v>7071.86</v>
      </c>
      <c r="E47" s="147"/>
      <c r="F47" s="147">
        <v>7071.86</v>
      </c>
      <c r="G47" s="147">
        <f>H47+I47</f>
        <v>74102.5</v>
      </c>
      <c r="H47" s="147"/>
      <c r="I47" s="147">
        <v>74102.5</v>
      </c>
      <c r="J47" s="12"/>
    </row>
    <row r="48" spans="1:10" ht="33" customHeight="1" thickBot="1">
      <c r="A48" s="143" t="s">
        <v>63</v>
      </c>
      <c r="B48" s="144" t="s">
        <v>64</v>
      </c>
      <c r="C48" s="147">
        <v>300</v>
      </c>
      <c r="D48" s="147">
        <f t="shared" ref="D48:I48" si="4">D50+D51</f>
        <v>205740.72</v>
      </c>
      <c r="E48" s="147">
        <f t="shared" si="4"/>
        <v>118625.52</v>
      </c>
      <c r="F48" s="147">
        <f>F50+F51</f>
        <v>87115.199999999997</v>
      </c>
      <c r="G48" s="147">
        <f t="shared" si="4"/>
        <v>743310.77</v>
      </c>
      <c r="H48" s="147">
        <f t="shared" si="4"/>
        <v>524771.15</v>
      </c>
      <c r="I48" s="147">
        <f t="shared" si="4"/>
        <v>218539.62</v>
      </c>
      <c r="J48" s="12"/>
    </row>
    <row r="49" spans="1:10" ht="16.5" thickBot="1">
      <c r="A49" s="143"/>
      <c r="B49" s="144" t="s">
        <v>38</v>
      </c>
      <c r="C49" s="144"/>
      <c r="D49" s="144"/>
      <c r="E49" s="144"/>
      <c r="F49" s="144"/>
      <c r="G49" s="144"/>
      <c r="H49" s="144"/>
      <c r="I49" s="144"/>
      <c r="J49" s="12"/>
    </row>
    <row r="50" spans="1:10" ht="16.5" thickBot="1">
      <c r="A50" s="143" t="s">
        <v>65</v>
      </c>
      <c r="B50" s="144" t="s">
        <v>66</v>
      </c>
      <c r="C50" s="144">
        <v>310</v>
      </c>
      <c r="D50" s="144">
        <f>E50+F50</f>
        <v>28800</v>
      </c>
      <c r="E50" s="144"/>
      <c r="F50" s="144">
        <v>28800</v>
      </c>
      <c r="G50" s="144">
        <f>H50+I50</f>
        <v>289374.27</v>
      </c>
      <c r="H50" s="144">
        <f>115940.23+49806.12+86317.92</f>
        <v>252064.27000000002</v>
      </c>
      <c r="I50" s="144">
        <f>-390+8900+28800</f>
        <v>37310</v>
      </c>
      <c r="J50" s="12"/>
    </row>
    <row r="51" spans="1:10" ht="16.5" thickBot="1">
      <c r="A51" s="143" t="s">
        <v>67</v>
      </c>
      <c r="B51" s="144" t="s">
        <v>68</v>
      </c>
      <c r="C51" s="144">
        <v>340</v>
      </c>
      <c r="D51" s="144">
        <f>E51+F51</f>
        <v>176940.72</v>
      </c>
      <c r="E51" s="144">
        <v>118625.52</v>
      </c>
      <c r="F51" s="144">
        <v>58315.199999999997</v>
      </c>
      <c r="G51" s="144">
        <f>H51+I51</f>
        <v>453936.5</v>
      </c>
      <c r="H51" s="144">
        <v>272706.88</v>
      </c>
      <c r="I51" s="144">
        <v>181229.62</v>
      </c>
      <c r="J51" s="12"/>
    </row>
    <row r="52" spans="1:10" ht="32.25" thickBot="1">
      <c r="A52" s="143" t="s">
        <v>69</v>
      </c>
      <c r="B52" s="144" t="s">
        <v>70</v>
      </c>
      <c r="C52" s="152" t="s">
        <v>26</v>
      </c>
      <c r="D52" s="152">
        <f>G27+D28-D30</f>
        <v>3496867.5</v>
      </c>
      <c r="E52" s="152">
        <f>H27+E28-E30</f>
        <v>1868729.9999999995</v>
      </c>
      <c r="F52" s="152">
        <f>I27+F28-F30</f>
        <v>1628137.5000000005</v>
      </c>
      <c r="G52" s="152">
        <f>G28-G30</f>
        <v>3496867.5000000037</v>
      </c>
      <c r="H52" s="152">
        <f>H28-H30</f>
        <v>1868730.0000000037</v>
      </c>
      <c r="I52" s="152">
        <f>I28-I30</f>
        <v>1628137.5</v>
      </c>
      <c r="J52" s="12"/>
    </row>
    <row r="53" spans="1:10" ht="18.75">
      <c r="A53" s="23"/>
    </row>
    <row r="54" spans="1:10" ht="27.75" customHeight="1" thickBot="1">
      <c r="A54" s="24" t="s">
        <v>71</v>
      </c>
      <c r="B54" s="25"/>
      <c r="C54" s="26" t="s">
        <v>72</v>
      </c>
      <c r="D54" s="25"/>
      <c r="E54" s="26"/>
      <c r="F54" s="25"/>
      <c r="G54" s="26" t="s">
        <v>73</v>
      </c>
      <c r="H54" s="25"/>
      <c r="I54" s="25"/>
    </row>
    <row r="55" spans="1:10" ht="12" customHeight="1">
      <c r="A55" s="27"/>
      <c r="B55" s="27"/>
      <c r="C55" s="28" t="s">
        <v>74</v>
      </c>
      <c r="D55" s="27"/>
      <c r="E55" s="28" t="s">
        <v>75</v>
      </c>
      <c r="F55" s="27"/>
      <c r="G55" s="28" t="s">
        <v>76</v>
      </c>
      <c r="H55" s="29"/>
      <c r="I55" s="29"/>
    </row>
    <row r="56" spans="1:10" ht="24.75" thickBot="1">
      <c r="A56" s="24" t="s">
        <v>77</v>
      </c>
      <c r="B56" s="25"/>
      <c r="C56" s="26"/>
      <c r="D56" s="25"/>
      <c r="E56" s="26" t="s">
        <v>78</v>
      </c>
      <c r="F56" s="25"/>
      <c r="G56" s="25"/>
      <c r="H56" s="25"/>
      <c r="I56" s="25"/>
    </row>
    <row r="57" spans="1:10" ht="9" customHeight="1">
      <c r="A57" s="29"/>
      <c r="B57" s="27"/>
      <c r="C57" s="29" t="s">
        <v>75</v>
      </c>
      <c r="D57" s="27"/>
      <c r="E57" s="29" t="s">
        <v>76</v>
      </c>
      <c r="F57" s="27"/>
      <c r="G57" s="27"/>
      <c r="H57" s="27"/>
      <c r="I57" s="27"/>
    </row>
    <row r="58" spans="1:10" ht="24.75" thickBot="1">
      <c r="A58" s="24" t="s">
        <v>79</v>
      </c>
      <c r="B58" s="25"/>
      <c r="C58" s="30" t="s">
        <v>77</v>
      </c>
      <c r="D58" s="25"/>
      <c r="E58" s="30"/>
      <c r="F58" s="25"/>
      <c r="G58" s="26" t="s">
        <v>78</v>
      </c>
      <c r="H58" s="25"/>
      <c r="I58" s="26" t="s">
        <v>80</v>
      </c>
    </row>
    <row r="59" spans="1:10">
      <c r="A59" s="29"/>
      <c r="B59" s="27"/>
      <c r="C59" s="29" t="s">
        <v>74</v>
      </c>
      <c r="D59" s="27"/>
      <c r="E59" s="29" t="s">
        <v>75</v>
      </c>
      <c r="F59" s="27"/>
      <c r="G59" s="29" t="s">
        <v>76</v>
      </c>
      <c r="H59" s="27"/>
      <c r="I59" s="29" t="s">
        <v>81</v>
      </c>
    </row>
    <row r="60" spans="1:10" ht="18.75">
      <c r="A60" s="7"/>
    </row>
    <row r="61" spans="1:10" ht="18.75">
      <c r="A61" s="7"/>
    </row>
    <row r="62" spans="1:10" ht="18.75">
      <c r="A62" s="7"/>
    </row>
    <row r="63" spans="1:10" ht="18.75">
      <c r="A63" s="7"/>
    </row>
    <row r="64" spans="1:10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7" spans="1:1" ht="15.75">
      <c r="A77" s="1"/>
    </row>
    <row r="78" spans="1:1" ht="15.75">
      <c r="A78" s="1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 t="s">
        <v>6</v>
      </c>
    </row>
    <row r="84" spans="1:1" ht="15.75">
      <c r="A84" s="2" t="s">
        <v>7</v>
      </c>
    </row>
    <row r="85" spans="1:1" ht="15.75">
      <c r="A85" s="1" t="s">
        <v>83</v>
      </c>
    </row>
    <row r="86" spans="1:1" ht="18.75">
      <c r="A86" s="31"/>
    </row>
    <row r="87" spans="1:1" ht="15.75">
      <c r="A87" s="5" t="s">
        <v>84</v>
      </c>
    </row>
    <row r="88" spans="1:1" ht="15.75">
      <c r="A88" s="5" t="s">
        <v>85</v>
      </c>
    </row>
    <row r="89" spans="1:1" ht="15.75">
      <c r="A89" s="5" t="s">
        <v>86</v>
      </c>
    </row>
    <row r="90" spans="1:1" ht="15.75">
      <c r="A90" s="4"/>
    </row>
    <row r="91" spans="1:1" ht="15.75">
      <c r="A91" s="4"/>
    </row>
    <row r="92" spans="1:1" ht="15.75">
      <c r="A92" s="4" t="s">
        <v>9</v>
      </c>
    </row>
    <row r="93" spans="1:1" ht="18.75">
      <c r="A93" s="6"/>
    </row>
    <row r="94" spans="1:1" ht="15.75">
      <c r="A94" s="4" t="s">
        <v>87</v>
      </c>
    </row>
    <row r="95" spans="1:1" ht="15.75">
      <c r="A95" s="4"/>
    </row>
    <row r="96" spans="1:1" ht="18.75">
      <c r="A96" s="7"/>
    </row>
    <row r="97" spans="1:4" ht="16.5" thickBot="1">
      <c r="A97" s="4"/>
    </row>
    <row r="98" spans="1:4" ht="47.25">
      <c r="A98" s="191" t="s">
        <v>88</v>
      </c>
      <c r="B98" s="191" t="s">
        <v>89</v>
      </c>
      <c r="C98" s="32" t="s">
        <v>14</v>
      </c>
      <c r="D98" s="191" t="s">
        <v>92</v>
      </c>
    </row>
    <row r="99" spans="1:4" ht="31.5">
      <c r="A99" s="192"/>
      <c r="B99" s="192"/>
      <c r="C99" s="33" t="s">
        <v>90</v>
      </c>
      <c r="D99" s="192"/>
    </row>
    <row r="100" spans="1:4" ht="47.25">
      <c r="A100" s="192"/>
      <c r="B100" s="192"/>
      <c r="C100" s="33" t="s">
        <v>16</v>
      </c>
      <c r="D100" s="192"/>
    </row>
    <row r="101" spans="1:4" ht="47.25">
      <c r="A101" s="192"/>
      <c r="B101" s="192"/>
      <c r="C101" s="33" t="s">
        <v>17</v>
      </c>
      <c r="D101" s="192"/>
    </row>
    <row r="102" spans="1:4" ht="32.25" thickBot="1">
      <c r="A102" s="193"/>
      <c r="B102" s="193"/>
      <c r="C102" s="34" t="s">
        <v>91</v>
      </c>
      <c r="D102" s="193"/>
    </row>
    <row r="103" spans="1:4" ht="16.5" thickBot="1">
      <c r="A103" s="111">
        <v>1</v>
      </c>
      <c r="B103" s="34">
        <v>2</v>
      </c>
      <c r="C103" s="34">
        <v>3</v>
      </c>
      <c r="D103" s="34">
        <v>4</v>
      </c>
    </row>
    <row r="104" spans="1:4" ht="16.5" thickBot="1">
      <c r="A104" s="111" t="s">
        <v>24</v>
      </c>
      <c r="B104" s="110"/>
      <c r="C104" s="110"/>
      <c r="D104" s="35"/>
    </row>
    <row r="105" spans="1:4" ht="16.5" thickBot="1">
      <c r="A105" s="111" t="s">
        <v>93</v>
      </c>
      <c r="B105" s="110"/>
      <c r="C105" s="110"/>
      <c r="D105" s="35"/>
    </row>
    <row r="106" spans="1:4" ht="16.5" thickBot="1">
      <c r="A106" s="111" t="s">
        <v>94</v>
      </c>
      <c r="B106" s="110"/>
      <c r="C106" s="34"/>
      <c r="D106" s="35"/>
    </row>
    <row r="107" spans="1:4" ht="16.5" thickBot="1">
      <c r="A107" s="111"/>
      <c r="B107" s="110" t="s">
        <v>95</v>
      </c>
      <c r="C107" s="34"/>
      <c r="D107" s="35"/>
    </row>
    <row r="108" spans="1:4" ht="15.75">
      <c r="A108" s="191" t="s">
        <v>96</v>
      </c>
      <c r="B108" s="109" t="s">
        <v>97</v>
      </c>
      <c r="C108" s="191"/>
      <c r="D108" s="194"/>
    </row>
    <row r="109" spans="1:4" ht="16.5" thickBot="1">
      <c r="A109" s="193"/>
      <c r="B109" s="110" t="s">
        <v>98</v>
      </c>
      <c r="C109" s="193"/>
      <c r="D109" s="195"/>
    </row>
    <row r="110" spans="1:4" ht="15.75">
      <c r="A110" s="3"/>
    </row>
    <row r="111" spans="1:4" ht="15.75">
      <c r="A111" s="3"/>
    </row>
    <row r="112" spans="1:4" ht="15.75">
      <c r="A112" s="3"/>
    </row>
    <row r="113" spans="1:9" ht="60.75" thickBot="1">
      <c r="A113" s="37" t="s">
        <v>99</v>
      </c>
      <c r="B113" s="25"/>
      <c r="C113" s="26"/>
      <c r="D113" s="25"/>
      <c r="E113" s="26"/>
      <c r="F113" s="25"/>
      <c r="G113" s="26"/>
      <c r="H113" s="25"/>
      <c r="I113" s="25"/>
    </row>
    <row r="114" spans="1:9">
      <c r="A114" s="27"/>
      <c r="B114" s="27"/>
      <c r="C114" s="28" t="s">
        <v>74</v>
      </c>
      <c r="D114" s="27"/>
      <c r="E114" s="28" t="s">
        <v>75</v>
      </c>
      <c r="F114" s="27"/>
      <c r="G114" s="28" t="s">
        <v>76</v>
      </c>
      <c r="H114" s="29"/>
      <c r="I114" s="29"/>
    </row>
    <row r="115" spans="1:9" ht="24.75" thickBot="1">
      <c r="A115" s="24" t="s">
        <v>77</v>
      </c>
      <c r="B115" s="25"/>
      <c r="C115" s="26"/>
      <c r="D115" s="25"/>
      <c r="E115" s="26"/>
      <c r="F115" s="25"/>
      <c r="G115" s="25"/>
      <c r="H115" s="25"/>
      <c r="I115" s="25"/>
    </row>
    <row r="116" spans="1:9">
      <c r="A116" s="29"/>
      <c r="B116" s="27"/>
      <c r="C116" s="29" t="s">
        <v>75</v>
      </c>
      <c r="D116" s="27"/>
      <c r="E116" s="29" t="s">
        <v>76</v>
      </c>
      <c r="F116" s="27"/>
      <c r="G116" s="27"/>
      <c r="H116" s="27"/>
      <c r="I116" s="27"/>
    </row>
    <row r="117" spans="1:9" ht="24.75" thickBot="1">
      <c r="A117" s="24" t="s">
        <v>79</v>
      </c>
      <c r="B117" s="25"/>
      <c r="C117" s="30"/>
      <c r="D117" s="25"/>
      <c r="E117" s="30"/>
      <c r="F117" s="25"/>
      <c r="G117" s="26"/>
      <c r="H117" s="25"/>
      <c r="I117" s="26"/>
    </row>
    <row r="118" spans="1:9">
      <c r="A118" s="29"/>
      <c r="B118" s="27"/>
      <c r="C118" s="29" t="s">
        <v>74</v>
      </c>
      <c r="D118" s="27"/>
      <c r="E118" s="29" t="s">
        <v>75</v>
      </c>
      <c r="F118" s="27"/>
      <c r="G118" s="29" t="s">
        <v>76</v>
      </c>
      <c r="H118" s="27"/>
      <c r="I118" s="29" t="s">
        <v>81</v>
      </c>
    </row>
    <row r="119" spans="1:9" ht="18.75">
      <c r="A119" s="7"/>
    </row>
    <row r="120" spans="1:9" ht="18.75">
      <c r="A120" s="7"/>
    </row>
    <row r="121" spans="1:9" ht="18.75">
      <c r="A121" s="7"/>
    </row>
    <row r="122" spans="1:9" ht="18.75">
      <c r="A122" s="7"/>
    </row>
    <row r="123" spans="1:9" ht="18.75">
      <c r="A123" s="7"/>
    </row>
  </sheetData>
  <mergeCells count="23">
    <mergeCell ref="D20:D24"/>
    <mergeCell ref="E20:F22"/>
    <mergeCell ref="G20:G24"/>
    <mergeCell ref="H20:I23"/>
    <mergeCell ref="J20:J22"/>
    <mergeCell ref="E23:E24"/>
    <mergeCell ref="F23:F24"/>
    <mergeCell ref="I28:I29"/>
    <mergeCell ref="J28:J29"/>
    <mergeCell ref="A98:A102"/>
    <mergeCell ref="B98:B102"/>
    <mergeCell ref="D98:D102"/>
    <mergeCell ref="A28:A29"/>
    <mergeCell ref="B28:B29"/>
    <mergeCell ref="C28:C29"/>
    <mergeCell ref="D28:D29"/>
    <mergeCell ref="E28:E29"/>
    <mergeCell ref="F28:F29"/>
    <mergeCell ref="A108:A109"/>
    <mergeCell ref="C108:C109"/>
    <mergeCell ref="D108:D109"/>
    <mergeCell ref="G28:G29"/>
    <mergeCell ref="H28:H29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125"/>
  <sheetViews>
    <sheetView topLeftCell="A67" workbookViewId="0">
      <selection activeCell="A84" sqref="A84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3.5703125" customWidth="1"/>
    <col min="7" max="7" width="18.85546875" customWidth="1"/>
    <col min="8" max="8" width="23.7109375" customWidth="1"/>
    <col min="9" max="9" width="26.5703125" customWidth="1"/>
  </cols>
  <sheetData>
    <row r="2" spans="1:9" ht="21">
      <c r="H2" s="92" t="s">
        <v>108</v>
      </c>
    </row>
    <row r="3" spans="1:9" ht="15.75">
      <c r="A3" s="1"/>
      <c r="F3" s="1"/>
      <c r="G3" s="1"/>
      <c r="H3" s="1" t="s">
        <v>0</v>
      </c>
      <c r="I3" s="1"/>
    </row>
    <row r="4" spans="1:9" ht="15.75">
      <c r="A4" s="1"/>
      <c r="F4" s="1"/>
      <c r="G4" s="1"/>
      <c r="H4" s="1" t="s">
        <v>1</v>
      </c>
      <c r="I4" s="1"/>
    </row>
    <row r="5" spans="1:9" ht="15.75">
      <c r="A5" s="1"/>
      <c r="F5" s="1"/>
      <c r="G5" s="1"/>
      <c r="H5" s="1" t="s">
        <v>2</v>
      </c>
      <c r="I5" s="1"/>
    </row>
    <row r="6" spans="1:9" ht="15.75">
      <c r="A6" s="1"/>
      <c r="F6" s="1"/>
      <c r="G6" s="1"/>
      <c r="H6" s="1" t="s">
        <v>3</v>
      </c>
      <c r="I6" s="1"/>
    </row>
    <row r="7" spans="1:9" ht="15.75">
      <c r="A7" s="1"/>
      <c r="F7" s="1"/>
      <c r="G7" s="1"/>
      <c r="H7" s="1" t="s">
        <v>4</v>
      </c>
      <c r="I7" s="1"/>
    </row>
    <row r="8" spans="1:9" ht="15.75">
      <c r="A8" s="1"/>
      <c r="F8" s="1"/>
      <c r="G8" s="1"/>
      <c r="H8" s="1" t="s">
        <v>5</v>
      </c>
      <c r="I8" s="1"/>
    </row>
    <row r="9" spans="1:9" ht="15.75">
      <c r="A9" s="1"/>
      <c r="F9" s="1"/>
      <c r="G9" s="1"/>
      <c r="H9" s="1" t="s">
        <v>6</v>
      </c>
      <c r="I9" s="1"/>
    </row>
    <row r="10" spans="1:9" ht="15.75">
      <c r="A10" s="2"/>
      <c r="F10" s="2"/>
      <c r="G10" s="2"/>
      <c r="H10" s="2" t="s">
        <v>7</v>
      </c>
      <c r="I10" s="2"/>
    </row>
    <row r="11" spans="1:9" ht="15.75">
      <c r="A11" s="1"/>
      <c r="F11" s="1"/>
      <c r="G11" s="1"/>
      <c r="H11" s="1" t="s">
        <v>8</v>
      </c>
      <c r="I11" s="1"/>
    </row>
    <row r="12" spans="1:9" ht="15.75">
      <c r="A12" s="4"/>
    </row>
    <row r="13" spans="1:9" ht="18.75">
      <c r="A13" s="5"/>
      <c r="B13" s="49" t="s">
        <v>103</v>
      </c>
      <c r="C13" s="49"/>
      <c r="D13" s="49"/>
      <c r="E13" s="48"/>
    </row>
    <row r="14" spans="1:9" ht="15.75">
      <c r="B14" s="50" t="s">
        <v>100</v>
      </c>
      <c r="C14" s="51"/>
      <c r="D14" s="51"/>
      <c r="E14" s="51"/>
    </row>
    <row r="15" spans="1:9" ht="15.75">
      <c r="A15" s="4"/>
      <c r="B15" s="43"/>
      <c r="C15" s="43"/>
      <c r="D15" s="43"/>
      <c r="E15" s="43"/>
    </row>
    <row r="16" spans="1:9" ht="26.25">
      <c r="A16" s="6"/>
      <c r="B16" s="51" t="s">
        <v>111</v>
      </c>
      <c r="C16" s="43"/>
      <c r="D16" s="43"/>
      <c r="E16" s="43"/>
      <c r="H16" s="52">
        <v>2</v>
      </c>
    </row>
    <row r="17" spans="1:9" ht="15.75">
      <c r="A17" s="4"/>
      <c r="B17" s="43"/>
      <c r="C17" s="43"/>
      <c r="D17" s="43"/>
      <c r="E17" s="43"/>
    </row>
    <row r="18" spans="1:9" ht="15.75">
      <c r="A18" s="4"/>
      <c r="B18" s="4"/>
    </row>
    <row r="19" spans="1:9" ht="19.5" thickBot="1">
      <c r="A19" s="7"/>
    </row>
    <row r="20" spans="1:9" ht="47.25">
      <c r="A20" s="18" t="s">
        <v>10</v>
      </c>
      <c r="B20" s="17" t="s">
        <v>12</v>
      </c>
      <c r="C20" s="17" t="s">
        <v>14</v>
      </c>
      <c r="D20" s="179" t="s">
        <v>19</v>
      </c>
      <c r="E20" s="182" t="s">
        <v>20</v>
      </c>
      <c r="F20" s="183"/>
      <c r="G20" s="182" t="s">
        <v>21</v>
      </c>
      <c r="H20" s="196" t="s">
        <v>20</v>
      </c>
      <c r="I20" s="197"/>
    </row>
    <row r="21" spans="1:9" ht="31.5">
      <c r="A21" s="19" t="s">
        <v>11</v>
      </c>
      <c r="B21" s="21" t="s">
        <v>13</v>
      </c>
      <c r="C21" s="21" t="s">
        <v>15</v>
      </c>
      <c r="D21" s="180"/>
      <c r="E21" s="184"/>
      <c r="F21" s="185"/>
      <c r="G21" s="184"/>
      <c r="H21" s="198"/>
      <c r="I21" s="199"/>
    </row>
    <row r="22" spans="1:9" ht="48" thickBot="1">
      <c r="A22" s="8"/>
      <c r="B22" s="10"/>
      <c r="C22" s="21" t="s">
        <v>16</v>
      </c>
      <c r="D22" s="180"/>
      <c r="E22" s="186"/>
      <c r="F22" s="187"/>
      <c r="G22" s="184"/>
      <c r="H22" s="198"/>
      <c r="I22" s="199"/>
    </row>
    <row r="23" spans="1:9" ht="47.25">
      <c r="A23" s="8"/>
      <c r="B23" s="10"/>
      <c r="C23" s="21" t="s">
        <v>17</v>
      </c>
      <c r="D23" s="180"/>
      <c r="E23" s="189">
        <v>130</v>
      </c>
      <c r="F23" s="189">
        <v>180</v>
      </c>
      <c r="G23" s="184"/>
      <c r="H23" s="200"/>
      <c r="I23" s="201"/>
    </row>
    <row r="24" spans="1:9" ht="32.25" thickBot="1">
      <c r="A24" s="9"/>
      <c r="B24" s="11"/>
      <c r="C24" s="22" t="s">
        <v>18</v>
      </c>
      <c r="D24" s="181"/>
      <c r="E24" s="190"/>
      <c r="F24" s="190"/>
      <c r="G24" s="181"/>
      <c r="H24" s="53">
        <v>130</v>
      </c>
      <c r="I24" s="53">
        <v>180</v>
      </c>
    </row>
    <row r="25" spans="1:9" ht="16.5" thickBot="1">
      <c r="A25" s="20">
        <v>1</v>
      </c>
      <c r="B25" s="22">
        <v>2</v>
      </c>
      <c r="C25" s="22">
        <v>3</v>
      </c>
      <c r="D25" s="22">
        <v>4</v>
      </c>
      <c r="E25" s="22"/>
      <c r="F25" s="22"/>
      <c r="G25" s="22"/>
      <c r="H25" s="22">
        <v>5</v>
      </c>
      <c r="I25" s="22">
        <v>6</v>
      </c>
    </row>
    <row r="26" spans="1:9" ht="19.5" thickBot="1">
      <c r="A26" s="20" t="s">
        <v>24</v>
      </c>
      <c r="B26" s="22" t="s">
        <v>105</v>
      </c>
      <c r="C26" s="22" t="s">
        <v>26</v>
      </c>
      <c r="D26" s="22">
        <f>E26+F26</f>
        <v>1720000</v>
      </c>
      <c r="E26" s="22">
        <v>1570000</v>
      </c>
      <c r="F26" s="22">
        <v>150000</v>
      </c>
      <c r="G26" s="53">
        <f>H26+I26</f>
        <v>1720000</v>
      </c>
      <c r="H26" s="22">
        <v>1570000</v>
      </c>
      <c r="I26" s="22">
        <v>150000</v>
      </c>
    </row>
    <row r="27" spans="1:9" ht="19.5" thickBot="1">
      <c r="A27" s="64"/>
      <c r="B27" s="67" t="s">
        <v>106</v>
      </c>
      <c r="C27" s="67" t="s">
        <v>26</v>
      </c>
      <c r="D27" s="67">
        <v>7525.82</v>
      </c>
      <c r="E27" s="67">
        <v>7525.82</v>
      </c>
      <c r="F27" s="67"/>
      <c r="G27" s="53">
        <v>7525.82</v>
      </c>
      <c r="H27" s="67">
        <v>7525.82</v>
      </c>
      <c r="I27" s="67"/>
    </row>
    <row r="28" spans="1:9" ht="19.5" thickBot="1">
      <c r="A28" s="80"/>
      <c r="B28" s="83" t="s">
        <v>113</v>
      </c>
      <c r="C28" s="83"/>
      <c r="D28" s="83">
        <v>201889</v>
      </c>
      <c r="E28" s="83">
        <v>201889</v>
      </c>
      <c r="F28" s="83"/>
      <c r="G28" s="53">
        <v>201889</v>
      </c>
      <c r="H28" s="83">
        <v>201889</v>
      </c>
      <c r="I28" s="83"/>
    </row>
    <row r="29" spans="1:9" ht="38.25" customHeight="1" thickBot="1">
      <c r="A29" s="20" t="s">
        <v>27</v>
      </c>
      <c r="B29" s="22" t="s">
        <v>112</v>
      </c>
      <c r="C29" s="22" t="s">
        <v>29</v>
      </c>
      <c r="D29" s="22">
        <f>E29+F29</f>
        <v>209414.82</v>
      </c>
      <c r="E29" s="22">
        <v>209414.82</v>
      </c>
      <c r="F29" s="22"/>
      <c r="G29" s="39">
        <v>209414.82</v>
      </c>
      <c r="H29" s="39">
        <v>209414.82</v>
      </c>
      <c r="I29" s="39"/>
    </row>
    <row r="30" spans="1:9" ht="27" customHeight="1">
      <c r="A30" s="179" t="s">
        <v>30</v>
      </c>
      <c r="B30" s="179" t="s">
        <v>102</v>
      </c>
      <c r="C30" s="179" t="s">
        <v>32</v>
      </c>
      <c r="D30" s="179">
        <f>E30+F30</f>
        <v>194303.13</v>
      </c>
      <c r="E30" s="179">
        <v>194303.13</v>
      </c>
      <c r="F30" s="179"/>
      <c r="G30" s="179">
        <f>H30+I30</f>
        <v>396192.13</v>
      </c>
      <c r="H30" s="179">
        <v>396192.13</v>
      </c>
      <c r="I30" s="179">
        <v>0</v>
      </c>
    </row>
    <row r="31" spans="1:9" ht="24" customHeight="1" thickBot="1">
      <c r="A31" s="181"/>
      <c r="B31" s="181"/>
      <c r="C31" s="181"/>
      <c r="D31" s="181"/>
      <c r="E31" s="181"/>
      <c r="F31" s="181"/>
      <c r="G31" s="181"/>
      <c r="H31" s="181"/>
      <c r="I31" s="181"/>
    </row>
    <row r="32" spans="1:9" ht="47.25" customHeight="1" thickBot="1">
      <c r="A32" s="41" t="s">
        <v>33</v>
      </c>
      <c r="B32" s="38" t="s">
        <v>34</v>
      </c>
      <c r="C32" s="38">
        <v>900</v>
      </c>
      <c r="D32" s="38">
        <f>D34+D39+D46+D49+D50</f>
        <v>151192.70000000001</v>
      </c>
      <c r="E32" s="38">
        <f>E34+E39+E46+E49+E50</f>
        <v>151192.70000000001</v>
      </c>
      <c r="F32" s="38">
        <f>F34+F5039+F46+F49+F50</f>
        <v>0</v>
      </c>
      <c r="G32" s="179">
        <f t="shared" ref="G32" si="0">H32+I32</f>
        <v>151192.70000000001</v>
      </c>
      <c r="H32" s="38">
        <f>H34+H39+H46+H49+H50</f>
        <v>151192.70000000001</v>
      </c>
      <c r="I32" s="38">
        <v>0</v>
      </c>
    </row>
    <row r="33" spans="1:9" ht="16.5" thickBot="1">
      <c r="A33" s="20"/>
      <c r="B33" s="22" t="s">
        <v>35</v>
      </c>
      <c r="C33" s="22"/>
      <c r="D33" s="22"/>
      <c r="E33" s="22"/>
      <c r="F33" s="22"/>
      <c r="G33" s="181"/>
      <c r="H33" s="22"/>
      <c r="I33" s="22"/>
    </row>
    <row r="34" spans="1:9" ht="32.25" thickBot="1">
      <c r="A34" s="20" t="s">
        <v>36</v>
      </c>
      <c r="B34" s="22" t="s">
        <v>37</v>
      </c>
      <c r="C34" s="13">
        <v>210</v>
      </c>
      <c r="D34" s="13">
        <f>D36+D37+D38</f>
        <v>1192.7</v>
      </c>
      <c r="E34" s="13">
        <f t="shared" ref="E34:F34" si="1">E36+E37+E38</f>
        <v>1192.7</v>
      </c>
      <c r="F34" s="13">
        <f t="shared" si="1"/>
        <v>0</v>
      </c>
      <c r="G34" s="179">
        <f t="shared" ref="G34" si="2">H34+I34</f>
        <v>1192.7</v>
      </c>
      <c r="H34" s="13">
        <f>H36</f>
        <v>1192.7</v>
      </c>
      <c r="I34" s="13">
        <f>I36+I37+I38</f>
        <v>0</v>
      </c>
    </row>
    <row r="35" spans="1:9" ht="16.5" thickBot="1">
      <c r="A35" s="20"/>
      <c r="B35" s="22" t="s">
        <v>38</v>
      </c>
      <c r="C35" s="22"/>
      <c r="D35" s="22"/>
      <c r="E35" s="22"/>
      <c r="F35" s="22"/>
      <c r="G35" s="181"/>
      <c r="H35" s="22"/>
      <c r="I35" s="22"/>
    </row>
    <row r="36" spans="1:9" ht="16.5" thickBot="1">
      <c r="A36" s="20" t="s">
        <v>39</v>
      </c>
      <c r="B36" s="22" t="s">
        <v>40</v>
      </c>
      <c r="C36" s="22">
        <v>211</v>
      </c>
      <c r="D36" s="22">
        <f>E36+F36</f>
        <v>1192.7</v>
      </c>
      <c r="E36" s="22">
        <v>1192.7</v>
      </c>
      <c r="F36" s="22">
        <v>0</v>
      </c>
      <c r="G36" s="179">
        <f t="shared" ref="G36" si="3">H36+I36</f>
        <v>1192.7</v>
      </c>
      <c r="H36" s="22">
        <v>1192.7</v>
      </c>
      <c r="I36" s="22"/>
    </row>
    <row r="37" spans="1:9" ht="16.5" thickBot="1">
      <c r="A37" s="20" t="s">
        <v>41</v>
      </c>
      <c r="B37" s="22" t="s">
        <v>42</v>
      </c>
      <c r="C37" s="22">
        <v>212</v>
      </c>
      <c r="D37" s="22">
        <v>0</v>
      </c>
      <c r="E37" s="22"/>
      <c r="F37" s="22">
        <v>0</v>
      </c>
      <c r="G37" s="181"/>
      <c r="H37" s="22"/>
      <c r="I37" s="22">
        <v>0</v>
      </c>
    </row>
    <row r="38" spans="1:9" ht="16.5" thickBot="1">
      <c r="A38" s="20" t="s">
        <v>43</v>
      </c>
      <c r="B38" s="22" t="s">
        <v>44</v>
      </c>
      <c r="C38" s="22">
        <v>213</v>
      </c>
      <c r="D38" s="22">
        <f>E38+F38</f>
        <v>0</v>
      </c>
      <c r="E38" s="22">
        <v>0</v>
      </c>
      <c r="F38" s="22">
        <v>0</v>
      </c>
      <c r="G38" s="179">
        <f t="shared" ref="G38" si="4">H38+I38</f>
        <v>0</v>
      </c>
      <c r="H38" s="22">
        <v>0</v>
      </c>
      <c r="I38" s="22">
        <v>0</v>
      </c>
    </row>
    <row r="39" spans="1:9" ht="16.5" thickBot="1">
      <c r="A39" s="20" t="s">
        <v>45</v>
      </c>
      <c r="B39" s="22" t="s">
        <v>46</v>
      </c>
      <c r="C39" s="14">
        <v>220</v>
      </c>
      <c r="D39" s="14">
        <f t="shared" ref="D39:I39" si="5">D41+D42+D43+D44+D45</f>
        <v>0</v>
      </c>
      <c r="E39" s="14">
        <f t="shared" si="5"/>
        <v>0</v>
      </c>
      <c r="F39" s="14">
        <f t="shared" si="5"/>
        <v>0</v>
      </c>
      <c r="G39" s="181"/>
      <c r="H39" s="14">
        <f t="shared" si="5"/>
        <v>0</v>
      </c>
      <c r="I39" s="14">
        <f t="shared" si="5"/>
        <v>0</v>
      </c>
    </row>
    <row r="40" spans="1:9" ht="16.5" thickBot="1">
      <c r="A40" s="20"/>
      <c r="B40" s="22" t="s">
        <v>38</v>
      </c>
      <c r="C40" s="22"/>
      <c r="D40" s="22"/>
      <c r="E40" s="22"/>
      <c r="F40" s="22"/>
      <c r="G40" s="179">
        <f t="shared" ref="G40" si="6">H40+I40</f>
        <v>0</v>
      </c>
      <c r="H40" s="22"/>
      <c r="I40" s="22"/>
    </row>
    <row r="41" spans="1:9" ht="16.5" thickBot="1">
      <c r="A41" s="20" t="s">
        <v>47</v>
      </c>
      <c r="B41" s="22" t="s">
        <v>48</v>
      </c>
      <c r="C41" s="22">
        <v>221</v>
      </c>
      <c r="D41" s="22">
        <v>0</v>
      </c>
      <c r="E41" s="22"/>
      <c r="F41" s="22"/>
      <c r="G41" s="181"/>
      <c r="H41" s="22"/>
      <c r="I41" s="22"/>
    </row>
    <row r="42" spans="1:9" ht="26.25" customHeight="1" thickBot="1">
      <c r="A42" s="20" t="s">
        <v>49</v>
      </c>
      <c r="B42" s="22" t="s">
        <v>50</v>
      </c>
      <c r="C42" s="22">
        <v>222</v>
      </c>
      <c r="D42" s="22">
        <v>0</v>
      </c>
      <c r="E42" s="22"/>
      <c r="F42" s="22"/>
      <c r="G42" s="179">
        <f t="shared" ref="G42" si="7">H42+I42</f>
        <v>0</v>
      </c>
      <c r="H42" s="22"/>
      <c r="I42" s="22"/>
    </row>
    <row r="43" spans="1:9" ht="29.25" customHeight="1" thickBot="1">
      <c r="A43" s="20" t="s">
        <v>51</v>
      </c>
      <c r="B43" s="22" t="s">
        <v>52</v>
      </c>
      <c r="C43" s="22">
        <v>223</v>
      </c>
      <c r="D43" s="22">
        <v>0</v>
      </c>
      <c r="E43" s="22"/>
      <c r="F43" s="22"/>
      <c r="G43" s="181"/>
      <c r="H43" s="22"/>
      <c r="I43" s="22"/>
    </row>
    <row r="44" spans="1:9" ht="16.5" thickBot="1">
      <c r="A44" s="20" t="s">
        <v>53</v>
      </c>
      <c r="B44" s="22" t="s">
        <v>54</v>
      </c>
      <c r="C44" s="22">
        <v>225</v>
      </c>
      <c r="D44" s="22">
        <v>0</v>
      </c>
      <c r="E44" s="22"/>
      <c r="F44" s="22"/>
      <c r="G44" s="179">
        <f t="shared" ref="G44" si="8">H44+I44</f>
        <v>0</v>
      </c>
      <c r="H44" s="22"/>
      <c r="I44" s="22">
        <v>0</v>
      </c>
    </row>
    <row r="45" spans="1:9" ht="30" customHeight="1" thickBot="1">
      <c r="A45" s="20" t="s">
        <v>55</v>
      </c>
      <c r="B45" s="22" t="s">
        <v>56</v>
      </c>
      <c r="C45" s="22">
        <v>226</v>
      </c>
      <c r="D45" s="22">
        <v>0</v>
      </c>
      <c r="E45" s="22"/>
      <c r="F45" s="22"/>
      <c r="G45" s="181"/>
      <c r="H45" s="22"/>
      <c r="I45" s="22">
        <v>0</v>
      </c>
    </row>
    <row r="46" spans="1:9" ht="16.5" thickBot="1">
      <c r="A46" s="20" t="s">
        <v>57</v>
      </c>
      <c r="B46" s="22" t="s">
        <v>58</v>
      </c>
      <c r="C46" s="14">
        <v>260</v>
      </c>
      <c r="D46" s="14">
        <f t="shared" ref="D46:I46" si="9">D48</f>
        <v>0</v>
      </c>
      <c r="E46" s="14">
        <f t="shared" si="9"/>
        <v>0</v>
      </c>
      <c r="F46" s="14">
        <f t="shared" si="9"/>
        <v>0</v>
      </c>
      <c r="G46" s="179">
        <f t="shared" ref="G46" si="10">H46+I46</f>
        <v>0</v>
      </c>
      <c r="H46" s="14">
        <f t="shared" si="9"/>
        <v>0</v>
      </c>
      <c r="I46" s="14">
        <f t="shared" si="9"/>
        <v>0</v>
      </c>
    </row>
    <row r="47" spans="1:9" ht="16.5" thickBot="1">
      <c r="A47" s="20"/>
      <c r="B47" s="22" t="s">
        <v>38</v>
      </c>
      <c r="C47" s="22"/>
      <c r="D47" s="22"/>
      <c r="E47" s="22"/>
      <c r="F47" s="22"/>
      <c r="G47" s="181"/>
      <c r="H47" s="22"/>
      <c r="I47" s="22"/>
    </row>
    <row r="48" spans="1:9" ht="16.5" thickBot="1">
      <c r="A48" s="20" t="s">
        <v>59</v>
      </c>
      <c r="B48" s="22" t="s">
        <v>60</v>
      </c>
      <c r="C48" s="22">
        <v>262</v>
      </c>
      <c r="D48" s="22"/>
      <c r="E48" s="22"/>
      <c r="F48" s="22"/>
      <c r="G48" s="179">
        <f t="shared" ref="G48" si="11">H48+I48</f>
        <v>0</v>
      </c>
      <c r="H48" s="22"/>
      <c r="I48" s="22">
        <v>0</v>
      </c>
    </row>
    <row r="49" spans="1:9" ht="38.25" customHeight="1" thickBot="1">
      <c r="A49" s="20" t="s">
        <v>61</v>
      </c>
      <c r="B49" s="22" t="s">
        <v>62</v>
      </c>
      <c r="C49" s="14">
        <v>290</v>
      </c>
      <c r="D49" s="14">
        <v>0</v>
      </c>
      <c r="E49" s="14"/>
      <c r="F49" s="14">
        <v>0</v>
      </c>
      <c r="G49" s="180"/>
      <c r="H49" s="14"/>
      <c r="I49" s="14">
        <v>0</v>
      </c>
    </row>
    <row r="50" spans="1:9" ht="33" customHeight="1" thickBot="1">
      <c r="A50" s="20" t="s">
        <v>63</v>
      </c>
      <c r="B50" s="22" t="s">
        <v>64</v>
      </c>
      <c r="C50" s="14">
        <v>300</v>
      </c>
      <c r="D50" s="14">
        <f>E50+F50</f>
        <v>150000</v>
      </c>
      <c r="E50" s="14">
        <f t="shared" ref="E50:I50" si="12">E52+E53</f>
        <v>150000</v>
      </c>
      <c r="F50" s="96">
        <f t="shared" si="12"/>
        <v>0</v>
      </c>
      <c r="G50" s="95">
        <f t="shared" ref="G50" si="13">H50+I50</f>
        <v>150000</v>
      </c>
      <c r="H50" s="14">
        <f t="shared" si="12"/>
        <v>150000</v>
      </c>
      <c r="I50" s="14">
        <f t="shared" si="12"/>
        <v>0</v>
      </c>
    </row>
    <row r="51" spans="1:9" ht="16.5" thickBot="1">
      <c r="A51" s="20"/>
      <c r="B51" s="22" t="s">
        <v>38</v>
      </c>
      <c r="C51" s="22"/>
      <c r="D51" s="22"/>
      <c r="E51" s="22"/>
      <c r="F51" s="93"/>
      <c r="G51" s="95"/>
      <c r="H51" s="22"/>
      <c r="I51" s="22"/>
    </row>
    <row r="52" spans="1:9" ht="16.5" thickBot="1">
      <c r="A52" s="20" t="s">
        <v>65</v>
      </c>
      <c r="B52" s="22" t="s">
        <v>66</v>
      </c>
      <c r="C52" s="22">
        <v>310</v>
      </c>
      <c r="D52" s="22">
        <f>E52+F52</f>
        <v>80445</v>
      </c>
      <c r="E52" s="22">
        <v>80445</v>
      </c>
      <c r="F52" s="94">
        <v>0</v>
      </c>
      <c r="G52" s="95">
        <f>H52+I52</f>
        <v>80445</v>
      </c>
      <c r="H52" s="22">
        <v>80445</v>
      </c>
      <c r="I52" s="22"/>
    </row>
    <row r="53" spans="1:9" ht="16.5" thickBot="1">
      <c r="A53" s="20" t="s">
        <v>67</v>
      </c>
      <c r="B53" s="22" t="s">
        <v>68</v>
      </c>
      <c r="C53" s="22">
        <v>340</v>
      </c>
      <c r="D53" s="22">
        <f>E53+F53</f>
        <v>69555</v>
      </c>
      <c r="E53" s="22">
        <f>150000-80445</f>
        <v>69555</v>
      </c>
      <c r="F53" s="93"/>
      <c r="G53" s="95">
        <f>H53+I53</f>
        <v>69555</v>
      </c>
      <c r="H53" s="22">
        <v>69555</v>
      </c>
      <c r="I53" s="22"/>
    </row>
    <row r="54" spans="1:9" ht="32.25" thickBot="1">
      <c r="A54" s="15" t="s">
        <v>69</v>
      </c>
      <c r="B54" s="16" t="s">
        <v>70</v>
      </c>
      <c r="C54" s="16" t="s">
        <v>26</v>
      </c>
      <c r="D54" s="54">
        <f>D29+D30-D32</f>
        <v>252525.25</v>
      </c>
      <c r="E54" s="54">
        <f>E29+E30-E32</f>
        <v>252525.25</v>
      </c>
      <c r="F54" s="54">
        <f>F29+F30-F32</f>
        <v>0</v>
      </c>
      <c r="G54" s="54">
        <f>G30-G32+G27</f>
        <v>252525.25</v>
      </c>
      <c r="H54" s="54">
        <f>H30-H32+H27</f>
        <v>252525.25</v>
      </c>
      <c r="I54" s="54">
        <f>I30-I32</f>
        <v>0</v>
      </c>
    </row>
    <row r="55" spans="1:9" ht="18.75">
      <c r="A55" s="23"/>
    </row>
    <row r="56" spans="1:9" ht="60.75" thickBot="1">
      <c r="A56" s="24" t="s">
        <v>71</v>
      </c>
      <c r="B56" s="25"/>
      <c r="C56" s="26" t="s">
        <v>72</v>
      </c>
      <c r="D56" s="25"/>
      <c r="E56" s="26"/>
      <c r="F56" s="25"/>
      <c r="G56" s="26" t="s">
        <v>73</v>
      </c>
      <c r="H56" s="25"/>
      <c r="I56" s="25"/>
    </row>
    <row r="57" spans="1:9">
      <c r="A57" s="27"/>
      <c r="B57" s="27"/>
      <c r="C57" s="28" t="s">
        <v>74</v>
      </c>
      <c r="D57" s="27"/>
      <c r="E57" s="28" t="s">
        <v>75</v>
      </c>
      <c r="F57" s="27"/>
      <c r="G57" s="28" t="s">
        <v>76</v>
      </c>
      <c r="H57" s="29"/>
      <c r="I57" s="29"/>
    </row>
    <row r="58" spans="1:9" ht="24.75" thickBot="1">
      <c r="A58" s="24" t="s">
        <v>77</v>
      </c>
      <c r="B58" s="25"/>
      <c r="C58" s="26"/>
      <c r="D58" s="25"/>
      <c r="E58" s="26" t="s">
        <v>78</v>
      </c>
      <c r="F58" s="25"/>
      <c r="G58" s="25"/>
      <c r="H58" s="25"/>
      <c r="I58" s="25"/>
    </row>
    <row r="59" spans="1:9">
      <c r="A59" s="29"/>
      <c r="B59" s="27"/>
      <c r="C59" s="29" t="s">
        <v>75</v>
      </c>
      <c r="D59" s="27"/>
      <c r="E59" s="29" t="s">
        <v>76</v>
      </c>
      <c r="F59" s="27"/>
      <c r="G59" s="27"/>
      <c r="H59" s="27"/>
      <c r="I59" s="27"/>
    </row>
    <row r="60" spans="1:9" ht="24.75" thickBot="1">
      <c r="A60" s="24" t="s">
        <v>79</v>
      </c>
      <c r="B60" s="25"/>
      <c r="C60" s="30" t="s">
        <v>77</v>
      </c>
      <c r="D60" s="25"/>
      <c r="E60" s="30"/>
      <c r="F60" s="25"/>
      <c r="G60" s="26" t="s">
        <v>78</v>
      </c>
      <c r="H60" s="25"/>
      <c r="I60" s="26" t="s">
        <v>80</v>
      </c>
    </row>
    <row r="61" spans="1:9">
      <c r="A61" s="29"/>
      <c r="B61" s="27"/>
      <c r="C61" s="29" t="s">
        <v>74</v>
      </c>
      <c r="D61" s="27"/>
      <c r="E61" s="29" t="s">
        <v>75</v>
      </c>
      <c r="F61" s="27"/>
      <c r="G61" s="29" t="s">
        <v>76</v>
      </c>
      <c r="H61" s="27"/>
      <c r="I61" s="29" t="s">
        <v>81</v>
      </c>
    </row>
    <row r="62" spans="1:9" ht="18.75">
      <c r="A62" s="7"/>
    </row>
    <row r="63" spans="1:9" ht="18.75">
      <c r="A63" s="7"/>
    </row>
    <row r="64" spans="1:9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6" spans="1:1" ht="18.75">
      <c r="A76" s="7"/>
    </row>
    <row r="77" spans="1:1" ht="18.75">
      <c r="A77" s="7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1"/>
    </row>
    <row r="85" spans="1:1" ht="15.75">
      <c r="A85" s="1"/>
    </row>
    <row r="86" spans="1:1" ht="15.75">
      <c r="A86" s="2" t="s">
        <v>7</v>
      </c>
    </row>
    <row r="87" spans="1:1" ht="15.75">
      <c r="A87" s="1" t="s">
        <v>83</v>
      </c>
    </row>
    <row r="88" spans="1:1" ht="18.75">
      <c r="A88" s="31"/>
    </row>
    <row r="89" spans="1:1" ht="15.75">
      <c r="A89" s="5" t="s">
        <v>84</v>
      </c>
    </row>
    <row r="90" spans="1:1" ht="15.75">
      <c r="A90" s="5" t="s">
        <v>85</v>
      </c>
    </row>
    <row r="91" spans="1:1" ht="15.75">
      <c r="A91" s="5" t="s">
        <v>86</v>
      </c>
    </row>
    <row r="92" spans="1:1" ht="15.75">
      <c r="A92" s="4"/>
    </row>
    <row r="93" spans="1:1" ht="15.75">
      <c r="A93" s="4"/>
    </row>
    <row r="94" spans="1:1" ht="15.75">
      <c r="A94" s="4" t="s">
        <v>9</v>
      </c>
    </row>
    <row r="95" spans="1:1" ht="18.75">
      <c r="A95" s="6"/>
    </row>
    <row r="96" spans="1:1" ht="15.75">
      <c r="A96" s="4" t="s">
        <v>87</v>
      </c>
    </row>
    <row r="97" spans="1:4" ht="15.75">
      <c r="A97" s="4"/>
    </row>
    <row r="98" spans="1:4" ht="18.75">
      <c r="A98" s="7"/>
    </row>
    <row r="99" spans="1:4" ht="16.5" thickBot="1">
      <c r="A99" s="4"/>
    </row>
    <row r="100" spans="1:4" ht="47.25">
      <c r="A100" s="191" t="s">
        <v>88</v>
      </c>
      <c r="B100" s="191" t="s">
        <v>89</v>
      </c>
      <c r="C100" s="32" t="s">
        <v>14</v>
      </c>
      <c r="D100" s="191" t="s">
        <v>92</v>
      </c>
    </row>
    <row r="101" spans="1:4" ht="31.5">
      <c r="A101" s="192"/>
      <c r="B101" s="192"/>
      <c r="C101" s="33" t="s">
        <v>90</v>
      </c>
      <c r="D101" s="192"/>
    </row>
    <row r="102" spans="1:4" ht="47.25">
      <c r="A102" s="192"/>
      <c r="B102" s="192"/>
      <c r="C102" s="33" t="s">
        <v>16</v>
      </c>
      <c r="D102" s="192"/>
    </row>
    <row r="103" spans="1:4" ht="47.25">
      <c r="A103" s="192"/>
      <c r="B103" s="192"/>
      <c r="C103" s="33" t="s">
        <v>17</v>
      </c>
      <c r="D103" s="192"/>
    </row>
    <row r="104" spans="1:4" ht="32.25" thickBot="1">
      <c r="A104" s="193"/>
      <c r="B104" s="193"/>
      <c r="C104" s="34" t="s">
        <v>91</v>
      </c>
      <c r="D104" s="193"/>
    </row>
    <row r="105" spans="1:4" ht="16.5" thickBot="1">
      <c r="A105" s="36">
        <v>1</v>
      </c>
      <c r="B105" s="34">
        <v>2</v>
      </c>
      <c r="C105" s="34">
        <v>3</v>
      </c>
      <c r="D105" s="34">
        <v>4</v>
      </c>
    </row>
    <row r="106" spans="1:4" ht="16.5" thickBot="1">
      <c r="A106" s="36" t="s">
        <v>24</v>
      </c>
      <c r="B106" s="22"/>
      <c r="C106" s="22"/>
      <c r="D106" s="35"/>
    </row>
    <row r="107" spans="1:4" ht="16.5" thickBot="1">
      <c r="A107" s="36" t="s">
        <v>93</v>
      </c>
      <c r="B107" s="22"/>
      <c r="C107" s="22"/>
      <c r="D107" s="35"/>
    </row>
    <row r="108" spans="1:4" ht="16.5" thickBot="1">
      <c r="A108" s="36" t="s">
        <v>94</v>
      </c>
      <c r="B108" s="22"/>
      <c r="C108" s="34"/>
      <c r="D108" s="35"/>
    </row>
    <row r="109" spans="1:4" ht="16.5" thickBot="1">
      <c r="A109" s="36"/>
      <c r="B109" s="22" t="s">
        <v>95</v>
      </c>
      <c r="C109" s="34"/>
      <c r="D109" s="35"/>
    </row>
    <row r="110" spans="1:4" ht="15.75">
      <c r="A110" s="191" t="s">
        <v>96</v>
      </c>
      <c r="B110" s="21" t="s">
        <v>97</v>
      </c>
      <c r="C110" s="191"/>
      <c r="D110" s="194"/>
    </row>
    <row r="111" spans="1:4" ht="16.5" thickBot="1">
      <c r="A111" s="193"/>
      <c r="B111" s="22" t="s">
        <v>98</v>
      </c>
      <c r="C111" s="193"/>
      <c r="D111" s="195"/>
    </row>
    <row r="112" spans="1:4" ht="15.75">
      <c r="A112" s="3"/>
    </row>
    <row r="113" spans="1:9" ht="15.75">
      <c r="A113" s="3"/>
    </row>
    <row r="114" spans="1:9" ht="15.75">
      <c r="A114" s="3"/>
    </row>
    <row r="115" spans="1:9" ht="60.75" thickBot="1">
      <c r="A115" s="37" t="s">
        <v>99</v>
      </c>
      <c r="B115" s="25"/>
      <c r="C115" s="26"/>
      <c r="D115" s="25"/>
      <c r="E115" s="26"/>
      <c r="F115" s="25"/>
      <c r="G115" s="26"/>
      <c r="H115" s="25"/>
      <c r="I115" s="25"/>
    </row>
    <row r="116" spans="1:9">
      <c r="A116" s="27"/>
      <c r="B116" s="27"/>
      <c r="C116" s="28" t="s">
        <v>74</v>
      </c>
      <c r="D116" s="27"/>
      <c r="E116" s="28" t="s">
        <v>75</v>
      </c>
      <c r="F116" s="27"/>
      <c r="G116" s="28" t="s">
        <v>76</v>
      </c>
      <c r="H116" s="29"/>
      <c r="I116" s="29"/>
    </row>
    <row r="117" spans="1:9" ht="24.75" thickBot="1">
      <c r="A117" s="24" t="s">
        <v>77</v>
      </c>
      <c r="B117" s="25"/>
      <c r="C117" s="26"/>
      <c r="D117" s="25"/>
      <c r="E117" s="26"/>
      <c r="F117" s="25"/>
      <c r="G117" s="25"/>
      <c r="H117" s="25"/>
      <c r="I117" s="25"/>
    </row>
    <row r="118" spans="1:9">
      <c r="A118" s="29"/>
      <c r="B118" s="27"/>
      <c r="C118" s="29" t="s">
        <v>75</v>
      </c>
      <c r="D118" s="27"/>
      <c r="E118" s="29" t="s">
        <v>76</v>
      </c>
      <c r="F118" s="27"/>
      <c r="G118" s="27"/>
      <c r="H118" s="27"/>
      <c r="I118" s="27"/>
    </row>
    <row r="119" spans="1:9" ht="24.75" thickBot="1">
      <c r="A119" s="24" t="s">
        <v>79</v>
      </c>
      <c r="B119" s="25"/>
      <c r="C119" s="30"/>
      <c r="D119" s="25"/>
      <c r="E119" s="30"/>
      <c r="F119" s="25"/>
      <c r="G119" s="26"/>
      <c r="H119" s="25"/>
      <c r="I119" s="26"/>
    </row>
    <row r="120" spans="1:9">
      <c r="A120" s="29"/>
      <c r="B120" s="27"/>
      <c r="C120" s="29" t="s">
        <v>74</v>
      </c>
      <c r="D120" s="27"/>
      <c r="E120" s="29" t="s">
        <v>75</v>
      </c>
      <c r="F120" s="27"/>
      <c r="G120" s="29" t="s">
        <v>76</v>
      </c>
      <c r="H120" s="27"/>
      <c r="I120" s="29" t="s">
        <v>81</v>
      </c>
    </row>
    <row r="121" spans="1:9" ht="18.75">
      <c r="A121" s="7"/>
    </row>
    <row r="122" spans="1:9" ht="18.75">
      <c r="A122" s="7"/>
    </row>
    <row r="123" spans="1:9" ht="18.75">
      <c r="A123" s="7"/>
    </row>
    <row r="124" spans="1:9" ht="18.75">
      <c r="A124" s="7"/>
    </row>
    <row r="125" spans="1:9" ht="18.75">
      <c r="A125" s="7"/>
    </row>
  </sheetData>
  <mergeCells count="30">
    <mergeCell ref="A110:A111"/>
    <mergeCell ref="C110:C111"/>
    <mergeCell ref="D110:D111"/>
    <mergeCell ref="G30:G31"/>
    <mergeCell ref="H30:H31"/>
    <mergeCell ref="A100:A104"/>
    <mergeCell ref="B100:B104"/>
    <mergeCell ref="D100:D104"/>
    <mergeCell ref="A30:A31"/>
    <mergeCell ref="B30:B31"/>
    <mergeCell ref="C30:C31"/>
    <mergeCell ref="D30:D31"/>
    <mergeCell ref="E30:E31"/>
    <mergeCell ref="F30:F31"/>
    <mergeCell ref="G40:G41"/>
    <mergeCell ref="G42:G43"/>
    <mergeCell ref="D20:D24"/>
    <mergeCell ref="E20:F22"/>
    <mergeCell ref="G20:G24"/>
    <mergeCell ref="H20:I23"/>
    <mergeCell ref="E23:E24"/>
    <mergeCell ref="F23:F24"/>
    <mergeCell ref="G44:G45"/>
    <mergeCell ref="G46:G47"/>
    <mergeCell ref="G48:G49"/>
    <mergeCell ref="I30:I31"/>
    <mergeCell ref="G32:G33"/>
    <mergeCell ref="G34:G35"/>
    <mergeCell ref="G36:G37"/>
    <mergeCell ref="G38:G3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23"/>
  <sheetViews>
    <sheetView topLeftCell="A29" workbookViewId="0">
      <selection activeCell="A77" sqref="A77:A85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5.5703125" customWidth="1"/>
    <col min="7" max="7" width="18.85546875" customWidth="1"/>
    <col min="8" max="8" width="23.7109375" customWidth="1"/>
    <col min="9" max="9" width="26.5703125" customWidth="1"/>
    <col min="10" max="10" width="36.28515625" customWidth="1"/>
  </cols>
  <sheetData>
    <row r="1" spans="1:8" ht="23.25">
      <c r="G1" s="77" t="s">
        <v>133</v>
      </c>
    </row>
    <row r="2" spans="1:8" ht="15.75">
      <c r="A2" s="69"/>
      <c r="B2" s="43"/>
      <c r="C2" s="43"/>
      <c r="D2" s="43"/>
      <c r="E2" s="119"/>
      <c r="F2" s="119"/>
      <c r="G2" s="69" t="s">
        <v>0</v>
      </c>
      <c r="H2" s="69"/>
    </row>
    <row r="3" spans="1:8" ht="15.75">
      <c r="A3" s="69"/>
      <c r="B3" s="43"/>
      <c r="C3" s="43"/>
      <c r="D3" s="43"/>
      <c r="E3" s="119"/>
      <c r="F3" s="119"/>
      <c r="G3" s="69" t="s">
        <v>1</v>
      </c>
      <c r="H3" s="69"/>
    </row>
    <row r="4" spans="1:8" ht="15.75">
      <c r="A4" s="69"/>
      <c r="B4" s="43"/>
      <c r="C4" s="43"/>
      <c r="D4" s="43"/>
      <c r="E4" s="119"/>
      <c r="F4" s="119"/>
      <c r="G4" s="69" t="s">
        <v>2</v>
      </c>
      <c r="H4" s="69"/>
    </row>
    <row r="5" spans="1:8" ht="15.75">
      <c r="A5" s="69"/>
      <c r="B5" s="43"/>
      <c r="C5" s="43"/>
      <c r="D5" s="43"/>
      <c r="E5" s="119"/>
      <c r="F5" s="119"/>
      <c r="G5" s="69" t="s">
        <v>3</v>
      </c>
      <c r="H5" s="69"/>
    </row>
    <row r="6" spans="1:8" ht="15.75">
      <c r="A6" s="69"/>
      <c r="B6" s="43"/>
      <c r="C6" s="43"/>
      <c r="D6" s="43"/>
      <c r="E6" s="119"/>
      <c r="F6" s="119"/>
      <c r="G6" s="69" t="s">
        <v>4</v>
      </c>
      <c r="H6" s="69"/>
    </row>
    <row r="7" spans="1:8" ht="15.75">
      <c r="A7" s="69"/>
      <c r="B7" s="43"/>
      <c r="C7" s="43"/>
      <c r="D7" s="43"/>
      <c r="E7" s="119"/>
      <c r="F7" s="119"/>
      <c r="G7" s="69" t="s">
        <v>5</v>
      </c>
      <c r="H7" s="69"/>
    </row>
    <row r="8" spans="1:8" ht="15.75">
      <c r="A8" s="69"/>
      <c r="B8" s="43"/>
      <c r="C8" s="43"/>
      <c r="D8" s="43"/>
      <c r="E8" s="119"/>
      <c r="F8" s="119"/>
      <c r="G8" s="69" t="s">
        <v>6</v>
      </c>
      <c r="H8" s="69"/>
    </row>
    <row r="9" spans="1:8" ht="15.75">
      <c r="A9" s="44"/>
      <c r="B9" s="43"/>
      <c r="C9" s="43"/>
      <c r="D9" s="43"/>
      <c r="E9" s="119"/>
      <c r="F9" s="119"/>
      <c r="G9" s="69" t="s">
        <v>7</v>
      </c>
      <c r="H9" s="44"/>
    </row>
    <row r="10" spans="1:8" ht="15.75">
      <c r="A10" s="69"/>
      <c r="B10" s="43"/>
      <c r="C10" s="43"/>
      <c r="D10" s="43"/>
      <c r="E10" s="119"/>
      <c r="F10" s="119"/>
      <c r="G10" s="69" t="s">
        <v>8</v>
      </c>
      <c r="H10" s="69"/>
    </row>
    <row r="11" spans="1:8" ht="15.75">
      <c r="A11" s="45"/>
      <c r="B11" s="43"/>
      <c r="C11" s="43"/>
      <c r="D11" s="43"/>
      <c r="E11" s="43"/>
      <c r="F11" s="43"/>
      <c r="G11" s="43"/>
      <c r="H11" s="43"/>
    </row>
    <row r="12" spans="1:8" ht="18.75">
      <c r="A12" s="47"/>
      <c r="B12" s="49" t="s">
        <v>101</v>
      </c>
      <c r="C12" s="49"/>
      <c r="D12" s="49"/>
      <c r="E12" s="48"/>
      <c r="F12" s="48"/>
      <c r="G12" s="48"/>
      <c r="H12" s="48"/>
    </row>
    <row r="13" spans="1:8" ht="15.75">
      <c r="A13" s="43"/>
      <c r="B13" s="50" t="s">
        <v>100</v>
      </c>
      <c r="C13" s="51"/>
      <c r="D13" s="51"/>
      <c r="E13" s="51"/>
      <c r="F13" s="43"/>
      <c r="G13" s="43"/>
      <c r="H13" s="43"/>
    </row>
    <row r="14" spans="1:8" ht="15.75">
      <c r="A14" s="45"/>
      <c r="B14" s="43"/>
      <c r="C14" s="43"/>
      <c r="D14" s="43"/>
      <c r="E14" s="43"/>
      <c r="F14" s="43"/>
      <c r="G14" s="43"/>
      <c r="H14" s="43"/>
    </row>
    <row r="15" spans="1:8" ht="18.75">
      <c r="A15" s="46"/>
      <c r="B15" s="51" t="s">
        <v>136</v>
      </c>
      <c r="C15" s="43"/>
      <c r="D15" s="43"/>
      <c r="E15" s="43"/>
      <c r="F15" s="43"/>
      <c r="G15" s="43"/>
      <c r="H15" s="43"/>
    </row>
    <row r="16" spans="1:8" ht="18.75">
      <c r="A16" s="6"/>
    </row>
    <row r="17" spans="1:10" ht="2.25" customHeight="1" thickBot="1">
      <c r="A17" s="4"/>
    </row>
    <row r="18" spans="1:10" ht="16.5" hidden="1" thickBot="1">
      <c r="A18" s="4"/>
    </row>
    <row r="19" spans="1:10" ht="19.5" hidden="1" thickBot="1">
      <c r="A19" s="7"/>
    </row>
    <row r="20" spans="1:10" ht="47.25">
      <c r="A20" s="136" t="s">
        <v>10</v>
      </c>
      <c r="B20" s="139" t="s">
        <v>12</v>
      </c>
      <c r="C20" s="139" t="s">
        <v>14</v>
      </c>
      <c r="D20" s="179" t="s">
        <v>19</v>
      </c>
      <c r="E20" s="182" t="s">
        <v>20</v>
      </c>
      <c r="F20" s="183"/>
      <c r="G20" s="179" t="s">
        <v>21</v>
      </c>
      <c r="H20" s="182" t="s">
        <v>20</v>
      </c>
      <c r="I20" s="183"/>
      <c r="J20" s="188"/>
    </row>
    <row r="21" spans="1:10" ht="31.5">
      <c r="A21" s="137" t="s">
        <v>11</v>
      </c>
      <c r="B21" s="140" t="s">
        <v>13</v>
      </c>
      <c r="C21" s="140" t="s">
        <v>15</v>
      </c>
      <c r="D21" s="180"/>
      <c r="E21" s="184"/>
      <c r="F21" s="185"/>
      <c r="G21" s="180"/>
      <c r="H21" s="184"/>
      <c r="I21" s="185"/>
      <c r="J21" s="188"/>
    </row>
    <row r="22" spans="1:10" ht="48" thickBot="1">
      <c r="A22" s="8"/>
      <c r="B22" s="10"/>
      <c r="C22" s="140" t="s">
        <v>16</v>
      </c>
      <c r="D22" s="180"/>
      <c r="E22" s="186"/>
      <c r="F22" s="187"/>
      <c r="G22" s="180"/>
      <c r="H22" s="184"/>
      <c r="I22" s="185"/>
      <c r="J22" s="188"/>
    </row>
    <row r="23" spans="1:10" ht="48" thickBot="1">
      <c r="A23" s="8"/>
      <c r="B23" s="10"/>
      <c r="C23" s="140" t="s">
        <v>17</v>
      </c>
      <c r="D23" s="180"/>
      <c r="E23" s="179" t="s">
        <v>22</v>
      </c>
      <c r="F23" s="179" t="s">
        <v>23</v>
      </c>
      <c r="G23" s="180"/>
      <c r="H23" s="186"/>
      <c r="I23" s="187"/>
      <c r="J23" s="12"/>
    </row>
    <row r="24" spans="1:10" ht="32.25" thickBot="1">
      <c r="A24" s="9"/>
      <c r="B24" s="11"/>
      <c r="C24" s="141" t="s">
        <v>18</v>
      </c>
      <c r="D24" s="181"/>
      <c r="E24" s="181"/>
      <c r="F24" s="181"/>
      <c r="G24" s="181"/>
      <c r="H24" s="141" t="s">
        <v>22</v>
      </c>
      <c r="I24" s="141" t="s">
        <v>23</v>
      </c>
      <c r="J24" s="12"/>
    </row>
    <row r="25" spans="1:10" ht="16.5" thickBot="1">
      <c r="A25" s="138">
        <v>1</v>
      </c>
      <c r="B25" s="141">
        <v>2</v>
      </c>
      <c r="C25" s="141">
        <v>3</v>
      </c>
      <c r="D25" s="141">
        <v>4</v>
      </c>
      <c r="E25" s="141"/>
      <c r="F25" s="141"/>
      <c r="G25" s="141"/>
      <c r="H25" s="141">
        <v>5</v>
      </c>
      <c r="I25" s="141">
        <v>6</v>
      </c>
      <c r="J25" s="12"/>
    </row>
    <row r="26" spans="1:10" ht="29.25" customHeight="1" thickBot="1">
      <c r="A26" s="143" t="s">
        <v>24</v>
      </c>
      <c r="B26" s="144" t="s">
        <v>105</v>
      </c>
      <c r="C26" s="152" t="s">
        <v>26</v>
      </c>
      <c r="D26" s="152">
        <v>4197132</v>
      </c>
      <c r="E26" s="152">
        <v>3749604</v>
      </c>
      <c r="F26" s="152">
        <v>518823</v>
      </c>
      <c r="G26" s="152">
        <f>H26+I26</f>
        <v>51261124.810000002</v>
      </c>
      <c r="H26" s="152">
        <v>44995247.810000002</v>
      </c>
      <c r="I26" s="152">
        <v>6265877</v>
      </c>
      <c r="J26" s="12"/>
    </row>
    <row r="27" spans="1:10" ht="38.25" customHeight="1" thickBot="1">
      <c r="A27" s="143" t="s">
        <v>27</v>
      </c>
      <c r="B27" s="144" t="s">
        <v>28</v>
      </c>
      <c r="C27" s="152" t="s">
        <v>29</v>
      </c>
      <c r="D27" s="152">
        <f>E27+F27</f>
        <v>3496867.5</v>
      </c>
      <c r="E27" s="152">
        <v>1868730</v>
      </c>
      <c r="F27" s="152">
        <v>1628137.5</v>
      </c>
      <c r="G27" s="152">
        <f>H27+I27</f>
        <v>3496867.5</v>
      </c>
      <c r="H27" s="152">
        <v>1868730</v>
      </c>
      <c r="I27" s="152">
        <v>1628137.5</v>
      </c>
      <c r="J27" s="12"/>
    </row>
    <row r="28" spans="1:10" ht="27" customHeight="1">
      <c r="A28" s="204" t="s">
        <v>30</v>
      </c>
      <c r="B28" s="204" t="s">
        <v>31</v>
      </c>
      <c r="C28" s="206" t="s">
        <v>32</v>
      </c>
      <c r="D28" s="206">
        <f>E28+F28</f>
        <v>4428235.1400000006</v>
      </c>
      <c r="E28" s="206">
        <v>3909413.14</v>
      </c>
      <c r="F28" s="206">
        <v>518822</v>
      </c>
      <c r="G28" s="206">
        <f>H28+I28</f>
        <v>34223410.989999995</v>
      </c>
      <c r="H28" s="206">
        <v>29453944.989999998</v>
      </c>
      <c r="I28" s="206">
        <v>4769466</v>
      </c>
      <c r="J28" s="188"/>
    </row>
    <row r="29" spans="1:10" ht="24" customHeight="1" thickBot="1">
      <c r="A29" s="205"/>
      <c r="B29" s="205"/>
      <c r="C29" s="207"/>
      <c r="D29" s="207"/>
      <c r="E29" s="207"/>
      <c r="F29" s="207"/>
      <c r="G29" s="207"/>
      <c r="H29" s="207"/>
      <c r="I29" s="207"/>
      <c r="J29" s="188"/>
    </row>
    <row r="30" spans="1:10" ht="47.25" customHeight="1" thickBot="1">
      <c r="A30" s="145" t="s">
        <v>33</v>
      </c>
      <c r="B30" s="146" t="s">
        <v>34</v>
      </c>
      <c r="C30" s="154">
        <v>900</v>
      </c>
      <c r="D30" s="154">
        <f>E30+F30</f>
        <v>3506694.15</v>
      </c>
      <c r="E30" s="154">
        <f t="shared" ref="E30:I30" si="0">E32+E37+E44+E47+E48</f>
        <v>3178434.79</v>
      </c>
      <c r="F30" s="154">
        <f t="shared" si="0"/>
        <v>328259.36</v>
      </c>
      <c r="G30" s="154">
        <f t="shared" si="0"/>
        <v>29805002.500000007</v>
      </c>
      <c r="H30" s="154">
        <f t="shared" si="0"/>
        <v>26854236.640000001</v>
      </c>
      <c r="I30" s="154">
        <f t="shared" si="0"/>
        <v>2950765.8600000003</v>
      </c>
      <c r="J30" s="12"/>
    </row>
    <row r="31" spans="1:10" ht="16.5" thickBot="1">
      <c r="A31" s="143"/>
      <c r="B31" s="144" t="s">
        <v>35</v>
      </c>
      <c r="C31" s="144"/>
      <c r="D31" s="144"/>
      <c r="E31" s="144"/>
      <c r="F31" s="144"/>
      <c r="G31" s="144"/>
      <c r="H31" s="144"/>
      <c r="I31" s="144"/>
      <c r="J31" s="12"/>
    </row>
    <row r="32" spans="1:10" ht="32.25" thickBot="1">
      <c r="A32" s="143" t="s">
        <v>36</v>
      </c>
      <c r="B32" s="144" t="s">
        <v>37</v>
      </c>
      <c r="C32" s="144">
        <v>210</v>
      </c>
      <c r="D32" s="147">
        <f>D34+D35+D36</f>
        <v>2893202.2900000005</v>
      </c>
      <c r="E32" s="147">
        <f>E34+E35+E36</f>
        <v>2715162.1</v>
      </c>
      <c r="F32" s="147">
        <f>F34+F35+F36</f>
        <v>178040.19</v>
      </c>
      <c r="G32" s="152">
        <f t="shared" ref="G32:I32" si="1">G34+G35+G36</f>
        <v>27334857.190000005</v>
      </c>
      <c r="H32" s="152">
        <f t="shared" si="1"/>
        <v>25862192.800000001</v>
      </c>
      <c r="I32" s="152">
        <f t="shared" si="1"/>
        <v>1472664.39</v>
      </c>
      <c r="J32" s="12"/>
    </row>
    <row r="33" spans="1:10" ht="16.5" thickBot="1">
      <c r="A33" s="143"/>
      <c r="B33" s="144" t="s">
        <v>38</v>
      </c>
      <c r="C33" s="144"/>
      <c r="D33" s="144"/>
      <c r="E33" s="144"/>
      <c r="F33" s="144"/>
      <c r="G33" s="144"/>
      <c r="H33" s="144"/>
      <c r="I33" s="144"/>
      <c r="J33" s="12"/>
    </row>
    <row r="34" spans="1:10" ht="16.5" thickBot="1">
      <c r="A34" s="143" t="s">
        <v>39</v>
      </c>
      <c r="B34" s="144" t="s">
        <v>40</v>
      </c>
      <c r="C34" s="144">
        <v>211</v>
      </c>
      <c r="D34" s="144">
        <f>E34+F34</f>
        <v>2512792.4600000004</v>
      </c>
      <c r="E34" s="144">
        <f>2336996.87+43419.75+2921.89</f>
        <v>2383338.5100000002</v>
      </c>
      <c r="F34" s="144">
        <v>129453.95</v>
      </c>
      <c r="G34" s="144">
        <f>H34+I34</f>
        <v>21645372.920000002</v>
      </c>
      <c r="H34" s="144">
        <v>20574628.75</v>
      </c>
      <c r="I34" s="144">
        <v>1070744.17</v>
      </c>
      <c r="J34" s="12"/>
    </row>
    <row r="35" spans="1:10" ht="16.5" thickBot="1">
      <c r="A35" s="143" t="s">
        <v>41</v>
      </c>
      <c r="B35" s="144" t="s">
        <v>42</v>
      </c>
      <c r="C35" s="144">
        <v>212</v>
      </c>
      <c r="D35" s="144">
        <f>E35+F35</f>
        <v>11200</v>
      </c>
      <c r="E35" s="144"/>
      <c r="F35" s="144">
        <v>11200</v>
      </c>
      <c r="G35" s="144">
        <f>H35+I35</f>
        <v>59911.28</v>
      </c>
      <c r="H35" s="144"/>
      <c r="I35" s="144">
        <v>59911.28</v>
      </c>
      <c r="J35" s="12"/>
    </row>
    <row r="36" spans="1:10" ht="16.5" thickBot="1">
      <c r="A36" s="143" t="s">
        <v>43</v>
      </c>
      <c r="B36" s="144" t="s">
        <v>44</v>
      </c>
      <c r="C36" s="144">
        <v>213</v>
      </c>
      <c r="D36" s="144">
        <f>E36+F36</f>
        <v>369209.82999999996</v>
      </c>
      <c r="E36" s="144">
        <f>328331.13+3273.42+219.04</f>
        <v>331823.58999999997</v>
      </c>
      <c r="F36" s="144">
        <v>37386.239999999998</v>
      </c>
      <c r="G36" s="144">
        <f>H36+I36</f>
        <v>5629572.9900000002</v>
      </c>
      <c r="H36" s="144">
        <v>5287564.05</v>
      </c>
      <c r="I36" s="144">
        <v>342008.94</v>
      </c>
      <c r="J36" s="12"/>
    </row>
    <row r="37" spans="1:10" ht="16.5" thickBot="1">
      <c r="A37" s="143" t="s">
        <v>45</v>
      </c>
      <c r="B37" s="144" t="s">
        <v>46</v>
      </c>
      <c r="C37" s="147">
        <v>220</v>
      </c>
      <c r="D37" s="147">
        <f>E37+F37</f>
        <v>98087.67</v>
      </c>
      <c r="E37" s="147">
        <f>E38+E39+E40+E41+E42+E43</f>
        <v>0</v>
      </c>
      <c r="F37" s="147">
        <f>F38+F39+F40+F41+F42+F43</f>
        <v>98087.67</v>
      </c>
      <c r="G37" s="147">
        <f>G39+G40+G41+G42+G43</f>
        <v>1137327.8500000001</v>
      </c>
      <c r="H37" s="147">
        <f>H39+H40+H41+H42+H43</f>
        <v>4000</v>
      </c>
      <c r="I37" s="147">
        <f>I39+I40+I41+I42+I43</f>
        <v>1133327.8500000001</v>
      </c>
      <c r="J37" s="12"/>
    </row>
    <row r="38" spans="1:10" ht="16.5" thickBot="1">
      <c r="A38" s="143"/>
      <c r="B38" s="144" t="s">
        <v>38</v>
      </c>
      <c r="C38" s="144"/>
      <c r="D38" s="144"/>
      <c r="E38" s="144"/>
      <c r="F38" s="144"/>
      <c r="G38" s="144"/>
      <c r="H38" s="144"/>
      <c r="I38" s="144"/>
      <c r="J38" s="12"/>
    </row>
    <row r="39" spans="1:10" ht="16.5" thickBot="1">
      <c r="A39" s="143" t="s">
        <v>47</v>
      </c>
      <c r="B39" s="144" t="s">
        <v>48</v>
      </c>
      <c r="C39" s="144">
        <v>221</v>
      </c>
      <c r="D39" s="144">
        <f>E39+F39</f>
        <v>1766.9</v>
      </c>
      <c r="E39" s="144"/>
      <c r="F39" s="144">
        <v>1766.9</v>
      </c>
      <c r="G39" s="144">
        <f>H39+I39</f>
        <v>18853.27</v>
      </c>
      <c r="H39" s="144">
        <v>4000</v>
      </c>
      <c r="I39" s="144">
        <v>14853.27</v>
      </c>
      <c r="J39" s="12"/>
    </row>
    <row r="40" spans="1:10" ht="26.25" customHeight="1" thickBot="1">
      <c r="A40" s="143" t="s">
        <v>49</v>
      </c>
      <c r="B40" s="144" t="s">
        <v>50</v>
      </c>
      <c r="C40" s="144">
        <v>222</v>
      </c>
      <c r="D40" s="144">
        <f t="shared" ref="D40:D43" si="2">E40+F40</f>
        <v>0</v>
      </c>
      <c r="E40" s="144"/>
      <c r="F40" s="144"/>
      <c r="G40" s="144">
        <f>H40+I40</f>
        <v>1366</v>
      </c>
      <c r="H40" s="144"/>
      <c r="I40" s="144">
        <v>1366</v>
      </c>
      <c r="J40" s="12"/>
    </row>
    <row r="41" spans="1:10" ht="29.25" customHeight="1" thickBot="1">
      <c r="A41" s="143" t="s">
        <v>51</v>
      </c>
      <c r="B41" s="144" t="s">
        <v>52</v>
      </c>
      <c r="C41" s="144">
        <v>223</v>
      </c>
      <c r="D41" s="144">
        <f t="shared" si="2"/>
        <v>12807.96</v>
      </c>
      <c r="E41" s="144"/>
      <c r="F41" s="144">
        <v>12807.96</v>
      </c>
      <c r="G41" s="144">
        <f>H41+I41</f>
        <v>282534.81</v>
      </c>
      <c r="H41" s="144"/>
      <c r="I41" s="144">
        <v>282534.81</v>
      </c>
      <c r="J41" s="12"/>
    </row>
    <row r="42" spans="1:10" ht="16.5" thickBot="1">
      <c r="A42" s="143" t="s">
        <v>53</v>
      </c>
      <c r="B42" s="144" t="s">
        <v>54</v>
      </c>
      <c r="C42" s="144">
        <v>225</v>
      </c>
      <c r="D42" s="144">
        <f t="shared" si="2"/>
        <v>42306.95</v>
      </c>
      <c r="E42" s="144"/>
      <c r="F42" s="144">
        <v>42306.95</v>
      </c>
      <c r="G42" s="144">
        <f>H42+I42</f>
        <v>433903.9</v>
      </c>
      <c r="H42" s="144"/>
      <c r="I42" s="144">
        <v>433903.9</v>
      </c>
      <c r="J42" s="12"/>
    </row>
    <row r="43" spans="1:10" ht="30" customHeight="1" thickBot="1">
      <c r="A43" s="143" t="s">
        <v>55</v>
      </c>
      <c r="B43" s="144" t="s">
        <v>56</v>
      </c>
      <c r="C43" s="144">
        <v>226</v>
      </c>
      <c r="D43" s="144">
        <f t="shared" si="2"/>
        <v>41205.86</v>
      </c>
      <c r="E43" s="144"/>
      <c r="F43" s="144">
        <v>41205.86</v>
      </c>
      <c r="G43" s="144">
        <f>H43+I43</f>
        <v>400669.87</v>
      </c>
      <c r="H43" s="144"/>
      <c r="I43" s="144">
        <v>400669.87</v>
      </c>
      <c r="J43" s="12"/>
    </row>
    <row r="44" spans="1:10" ht="16.5" thickBot="1">
      <c r="A44" s="143" t="s">
        <v>57</v>
      </c>
      <c r="B44" s="144" t="s">
        <v>58</v>
      </c>
      <c r="C44" s="147">
        <v>260</v>
      </c>
      <c r="D44" s="147">
        <f t="shared" ref="D44:G44" si="3">D46</f>
        <v>0</v>
      </c>
      <c r="E44" s="147"/>
      <c r="F44" s="147"/>
      <c r="G44" s="147">
        <f t="shared" si="3"/>
        <v>0</v>
      </c>
      <c r="H44" s="147"/>
      <c r="I44" s="147"/>
      <c r="J44" s="12"/>
    </row>
    <row r="45" spans="1:10" ht="16.5" thickBot="1">
      <c r="A45" s="143"/>
      <c r="B45" s="144" t="s">
        <v>38</v>
      </c>
      <c r="C45" s="144"/>
      <c r="D45" s="144"/>
      <c r="E45" s="144"/>
      <c r="F45" s="144"/>
      <c r="G45" s="144"/>
      <c r="H45" s="144"/>
      <c r="I45" s="144"/>
      <c r="J45" s="12"/>
    </row>
    <row r="46" spans="1:10" ht="16.5" thickBot="1">
      <c r="A46" s="143" t="s">
        <v>59</v>
      </c>
      <c r="B46" s="144" t="s">
        <v>60</v>
      </c>
      <c r="C46" s="144">
        <v>262</v>
      </c>
      <c r="D46" s="144"/>
      <c r="E46" s="144"/>
      <c r="F46" s="144"/>
      <c r="G46" s="144"/>
      <c r="H46" s="144"/>
      <c r="I46" s="144"/>
      <c r="J46" s="12"/>
    </row>
    <row r="47" spans="1:10" ht="38.25" customHeight="1" thickBot="1">
      <c r="A47" s="143" t="s">
        <v>61</v>
      </c>
      <c r="B47" s="144" t="s">
        <v>62</v>
      </c>
      <c r="C47" s="147">
        <v>290</v>
      </c>
      <c r="D47" s="147">
        <f>E47+F47</f>
        <v>0</v>
      </c>
      <c r="E47" s="147"/>
      <c r="F47" s="147"/>
      <c r="G47" s="147">
        <f>H47+I47</f>
        <v>74102.5</v>
      </c>
      <c r="H47" s="147"/>
      <c r="I47" s="147">
        <v>74102.5</v>
      </c>
      <c r="J47" s="12"/>
    </row>
    <row r="48" spans="1:10" ht="33" customHeight="1" thickBot="1">
      <c r="A48" s="143" t="s">
        <v>63</v>
      </c>
      <c r="B48" s="144" t="s">
        <v>64</v>
      </c>
      <c r="C48" s="147">
        <v>300</v>
      </c>
      <c r="D48" s="147">
        <f t="shared" ref="D48:I48" si="4">D50+D51</f>
        <v>515404.18999999994</v>
      </c>
      <c r="E48" s="147">
        <f t="shared" si="4"/>
        <v>463272.69</v>
      </c>
      <c r="F48" s="147">
        <f>F50+F51</f>
        <v>52131.5</v>
      </c>
      <c r="G48" s="147">
        <f t="shared" si="4"/>
        <v>1258714.96</v>
      </c>
      <c r="H48" s="147">
        <f t="shared" si="4"/>
        <v>988043.84000000008</v>
      </c>
      <c r="I48" s="147">
        <f t="shared" si="4"/>
        <v>270671.12</v>
      </c>
      <c r="J48" s="12"/>
    </row>
    <row r="49" spans="1:10" ht="16.5" thickBot="1">
      <c r="A49" s="143"/>
      <c r="B49" s="144" t="s">
        <v>38</v>
      </c>
      <c r="C49" s="144"/>
      <c r="D49" s="144"/>
      <c r="E49" s="144"/>
      <c r="F49" s="144"/>
      <c r="G49" s="144"/>
      <c r="H49" s="144"/>
      <c r="I49" s="144"/>
      <c r="J49" s="12"/>
    </row>
    <row r="50" spans="1:10" ht="16.5" thickBot="1">
      <c r="A50" s="143" t="s">
        <v>65</v>
      </c>
      <c r="B50" s="144" t="s">
        <v>66</v>
      </c>
      <c r="C50" s="144">
        <v>310</v>
      </c>
      <c r="D50" s="144">
        <f>E50+F50</f>
        <v>403403.29</v>
      </c>
      <c r="E50" s="144">
        <f>94490+306713.29</f>
        <v>401203.29</v>
      </c>
      <c r="F50" s="144">
        <v>2200</v>
      </c>
      <c r="G50" s="144">
        <f>H50+I50</f>
        <v>692777.56</v>
      </c>
      <c r="H50" s="144">
        <v>653267.56000000006</v>
      </c>
      <c r="I50" s="144">
        <f>-390+8900+28800+2200</f>
        <v>39510</v>
      </c>
      <c r="J50" s="12"/>
    </row>
    <row r="51" spans="1:10" ht="16.5" thickBot="1">
      <c r="A51" s="143" t="s">
        <v>67</v>
      </c>
      <c r="B51" s="144" t="s">
        <v>68</v>
      </c>
      <c r="C51" s="144">
        <v>340</v>
      </c>
      <c r="D51" s="144">
        <f>E51+F51</f>
        <v>112000.9</v>
      </c>
      <c r="E51" s="144">
        <v>62069.4</v>
      </c>
      <c r="F51" s="144">
        <v>49931.5</v>
      </c>
      <c r="G51" s="144">
        <f>H51+I51</f>
        <v>565937.4</v>
      </c>
      <c r="H51" s="144">
        <f>272706.88+62069.4</f>
        <v>334776.28000000003</v>
      </c>
      <c r="I51" s="144">
        <f>181229.62+49931.5</f>
        <v>231161.12</v>
      </c>
      <c r="J51" s="12"/>
    </row>
    <row r="52" spans="1:10" ht="32.25" thickBot="1">
      <c r="A52" s="143" t="s">
        <v>69</v>
      </c>
      <c r="B52" s="144" t="s">
        <v>70</v>
      </c>
      <c r="C52" s="152" t="s">
        <v>26</v>
      </c>
      <c r="D52" s="152">
        <f>G27+D28-D30</f>
        <v>4418408.49</v>
      </c>
      <c r="E52" s="152">
        <f>H27+E28-E30</f>
        <v>2599708.3500000006</v>
      </c>
      <c r="F52" s="152">
        <f>I27+F28-F30</f>
        <v>1818700.1400000001</v>
      </c>
      <c r="G52" s="152">
        <f>G28-G30</f>
        <v>4418408.4899999872</v>
      </c>
      <c r="H52" s="152">
        <f>H28-H30</f>
        <v>2599708.3499999978</v>
      </c>
      <c r="I52" s="152">
        <f>I28-I30</f>
        <v>1818700.1399999997</v>
      </c>
      <c r="J52" s="12"/>
    </row>
    <row r="53" spans="1:10" ht="9" customHeight="1">
      <c r="A53" s="23"/>
    </row>
    <row r="54" spans="1:10" ht="27.75" customHeight="1" thickBot="1">
      <c r="A54" s="24" t="s">
        <v>71</v>
      </c>
      <c r="B54" s="25"/>
      <c r="C54" s="26" t="s">
        <v>72</v>
      </c>
      <c r="D54" s="25"/>
      <c r="E54" s="26"/>
      <c r="F54" s="25"/>
      <c r="G54" s="26" t="s">
        <v>73</v>
      </c>
      <c r="H54" s="25"/>
      <c r="I54" s="25"/>
    </row>
    <row r="55" spans="1:10" ht="9.75" customHeight="1">
      <c r="A55" s="27"/>
      <c r="B55" s="27"/>
      <c r="C55" s="28" t="s">
        <v>74</v>
      </c>
      <c r="D55" s="27"/>
      <c r="E55" s="28" t="s">
        <v>75</v>
      </c>
      <c r="F55" s="27"/>
      <c r="G55" s="28" t="s">
        <v>76</v>
      </c>
      <c r="H55" s="29"/>
      <c r="I55" s="29"/>
    </row>
    <row r="56" spans="1:10" ht="24.75" thickBot="1">
      <c r="A56" s="24" t="s">
        <v>77</v>
      </c>
      <c r="B56" s="25"/>
      <c r="C56" s="26"/>
      <c r="D56" s="25"/>
      <c r="E56" s="26" t="s">
        <v>78</v>
      </c>
      <c r="F56" s="25"/>
      <c r="G56" s="25"/>
      <c r="H56" s="25"/>
      <c r="I56" s="25"/>
    </row>
    <row r="57" spans="1:10" ht="8.25" customHeight="1">
      <c r="A57" s="29"/>
      <c r="B57" s="27"/>
      <c r="C57" s="29" t="s">
        <v>75</v>
      </c>
      <c r="D57" s="27"/>
      <c r="E57" s="29" t="s">
        <v>76</v>
      </c>
      <c r="F57" s="27"/>
      <c r="G57" s="27"/>
      <c r="H57" s="27"/>
      <c r="I57" s="27"/>
    </row>
    <row r="58" spans="1:10" ht="24.75" thickBot="1">
      <c r="A58" s="24" t="s">
        <v>79</v>
      </c>
      <c r="B58" s="25"/>
      <c r="C58" s="30" t="s">
        <v>77</v>
      </c>
      <c r="D58" s="25"/>
      <c r="E58" s="30"/>
      <c r="F58" s="25"/>
      <c r="G58" s="26" t="s">
        <v>78</v>
      </c>
      <c r="H58" s="25"/>
      <c r="I58" s="26" t="s">
        <v>80</v>
      </c>
    </row>
    <row r="59" spans="1:10">
      <c r="A59" s="29"/>
      <c r="B59" s="27"/>
      <c r="C59" s="29" t="s">
        <v>74</v>
      </c>
      <c r="D59" s="27"/>
      <c r="E59" s="29" t="s">
        <v>75</v>
      </c>
      <c r="F59" s="27"/>
      <c r="G59" s="29" t="s">
        <v>76</v>
      </c>
      <c r="H59" s="27"/>
      <c r="I59" s="29" t="s">
        <v>81</v>
      </c>
    </row>
    <row r="60" spans="1:10" ht="18.75">
      <c r="A60" s="7"/>
    </row>
    <row r="61" spans="1:10" ht="18.75">
      <c r="A61" s="7"/>
    </row>
    <row r="62" spans="1:10" ht="18.75">
      <c r="A62" s="7"/>
    </row>
    <row r="63" spans="1:10" ht="18.75">
      <c r="A63" s="7"/>
    </row>
    <row r="64" spans="1:10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7" spans="1:1" ht="15.75">
      <c r="A77" s="1"/>
    </row>
    <row r="78" spans="1:1" ht="15.75">
      <c r="A78" s="1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2"/>
    </row>
    <row r="85" spans="1:1" ht="15.75">
      <c r="A85" s="1"/>
    </row>
    <row r="86" spans="1:1" ht="18.75">
      <c r="A86" s="31"/>
    </row>
    <row r="87" spans="1:1" ht="15.75">
      <c r="A87" s="5" t="s">
        <v>84</v>
      </c>
    </row>
    <row r="88" spans="1:1" ht="15.75">
      <c r="A88" s="5" t="s">
        <v>85</v>
      </c>
    </row>
    <row r="89" spans="1:1" ht="15.75">
      <c r="A89" s="5" t="s">
        <v>86</v>
      </c>
    </row>
    <row r="90" spans="1:1" ht="15.75">
      <c r="A90" s="4"/>
    </row>
    <row r="91" spans="1:1" ht="15.75">
      <c r="A91" s="4"/>
    </row>
    <row r="92" spans="1:1" ht="15.75">
      <c r="A92" s="4" t="s">
        <v>9</v>
      </c>
    </row>
    <row r="93" spans="1:1" ht="18.75">
      <c r="A93" s="6"/>
    </row>
    <row r="94" spans="1:1" ht="15.75">
      <c r="A94" s="4" t="s">
        <v>87</v>
      </c>
    </row>
    <row r="95" spans="1:1" ht="15.75">
      <c r="A95" s="4"/>
    </row>
    <row r="96" spans="1:1" ht="18.75">
      <c r="A96" s="7"/>
    </row>
    <row r="97" spans="1:4" ht="16.5" thickBot="1">
      <c r="A97" s="4"/>
    </row>
    <row r="98" spans="1:4" ht="47.25">
      <c r="A98" s="191" t="s">
        <v>88</v>
      </c>
      <c r="B98" s="191" t="s">
        <v>89</v>
      </c>
      <c r="C98" s="32" t="s">
        <v>14</v>
      </c>
      <c r="D98" s="191" t="s">
        <v>92</v>
      </c>
    </row>
    <row r="99" spans="1:4" ht="31.5">
      <c r="A99" s="192"/>
      <c r="B99" s="192"/>
      <c r="C99" s="33" t="s">
        <v>90</v>
      </c>
      <c r="D99" s="192"/>
    </row>
    <row r="100" spans="1:4" ht="47.25">
      <c r="A100" s="192"/>
      <c r="B100" s="192"/>
      <c r="C100" s="33" t="s">
        <v>16</v>
      </c>
      <c r="D100" s="192"/>
    </row>
    <row r="101" spans="1:4" ht="47.25">
      <c r="A101" s="192"/>
      <c r="B101" s="192"/>
      <c r="C101" s="33" t="s">
        <v>17</v>
      </c>
      <c r="D101" s="192"/>
    </row>
    <row r="102" spans="1:4" ht="32.25" thickBot="1">
      <c r="A102" s="193"/>
      <c r="B102" s="193"/>
      <c r="C102" s="34" t="s">
        <v>91</v>
      </c>
      <c r="D102" s="193"/>
    </row>
    <row r="103" spans="1:4" ht="16.5" thickBot="1">
      <c r="A103" s="142">
        <v>1</v>
      </c>
      <c r="B103" s="34">
        <v>2</v>
      </c>
      <c r="C103" s="34">
        <v>3</v>
      </c>
      <c r="D103" s="34">
        <v>4</v>
      </c>
    </row>
    <row r="104" spans="1:4" ht="16.5" thickBot="1">
      <c r="A104" s="142" t="s">
        <v>24</v>
      </c>
      <c r="B104" s="141"/>
      <c r="C104" s="141"/>
      <c r="D104" s="35"/>
    </row>
    <row r="105" spans="1:4" ht="16.5" thickBot="1">
      <c r="A105" s="142" t="s">
        <v>93</v>
      </c>
      <c r="B105" s="141"/>
      <c r="C105" s="141"/>
      <c r="D105" s="35"/>
    </row>
    <row r="106" spans="1:4" ht="16.5" thickBot="1">
      <c r="A106" s="142" t="s">
        <v>94</v>
      </c>
      <c r="B106" s="141"/>
      <c r="C106" s="34"/>
      <c r="D106" s="35"/>
    </row>
    <row r="107" spans="1:4" ht="16.5" thickBot="1">
      <c r="A107" s="142"/>
      <c r="B107" s="141" t="s">
        <v>95</v>
      </c>
      <c r="C107" s="34"/>
      <c r="D107" s="35"/>
    </row>
    <row r="108" spans="1:4" ht="15.75">
      <c r="A108" s="191" t="s">
        <v>96</v>
      </c>
      <c r="B108" s="140" t="s">
        <v>97</v>
      </c>
      <c r="C108" s="191"/>
      <c r="D108" s="194"/>
    </row>
    <row r="109" spans="1:4" ht="16.5" thickBot="1">
      <c r="A109" s="193"/>
      <c r="B109" s="141" t="s">
        <v>98</v>
      </c>
      <c r="C109" s="193"/>
      <c r="D109" s="195"/>
    </row>
    <row r="110" spans="1:4" ht="15.75">
      <c r="A110" s="3"/>
    </row>
    <row r="111" spans="1:4" ht="15.75">
      <c r="A111" s="3"/>
    </row>
    <row r="112" spans="1:4" ht="15.75">
      <c r="A112" s="3"/>
    </row>
    <row r="113" spans="1:9" ht="60.75" thickBot="1">
      <c r="A113" s="37" t="s">
        <v>99</v>
      </c>
      <c r="B113" s="25"/>
      <c r="C113" s="26"/>
      <c r="D113" s="25"/>
      <c r="E113" s="26"/>
      <c r="F113" s="25"/>
      <c r="G113" s="26"/>
      <c r="H113" s="25"/>
      <c r="I113" s="25"/>
    </row>
    <row r="114" spans="1:9">
      <c r="A114" s="27"/>
      <c r="B114" s="27"/>
      <c r="C114" s="28" t="s">
        <v>74</v>
      </c>
      <c r="D114" s="27"/>
      <c r="E114" s="28" t="s">
        <v>75</v>
      </c>
      <c r="F114" s="27"/>
      <c r="G114" s="28" t="s">
        <v>76</v>
      </c>
      <c r="H114" s="29"/>
      <c r="I114" s="29"/>
    </row>
    <row r="115" spans="1:9" ht="24.75" thickBot="1">
      <c r="A115" s="24" t="s">
        <v>77</v>
      </c>
      <c r="B115" s="25"/>
      <c r="C115" s="26"/>
      <c r="D115" s="25"/>
      <c r="E115" s="26"/>
      <c r="F115" s="25"/>
      <c r="G115" s="25"/>
      <c r="H115" s="25"/>
      <c r="I115" s="25"/>
    </row>
    <row r="116" spans="1:9">
      <c r="A116" s="29"/>
      <c r="B116" s="27"/>
      <c r="C116" s="29" t="s">
        <v>75</v>
      </c>
      <c r="D116" s="27"/>
      <c r="E116" s="29" t="s">
        <v>76</v>
      </c>
      <c r="F116" s="27"/>
      <c r="G116" s="27"/>
      <c r="H116" s="27"/>
      <c r="I116" s="27"/>
    </row>
    <row r="117" spans="1:9" ht="24.75" thickBot="1">
      <c r="A117" s="24" t="s">
        <v>79</v>
      </c>
      <c r="B117" s="25"/>
      <c r="C117" s="30"/>
      <c r="D117" s="25"/>
      <c r="E117" s="30"/>
      <c r="F117" s="25"/>
      <c r="G117" s="26"/>
      <c r="H117" s="25"/>
      <c r="I117" s="26"/>
    </row>
    <row r="118" spans="1:9">
      <c r="A118" s="29"/>
      <c r="B118" s="27"/>
      <c r="C118" s="29" t="s">
        <v>74</v>
      </c>
      <c r="D118" s="27"/>
      <c r="E118" s="29" t="s">
        <v>75</v>
      </c>
      <c r="F118" s="27"/>
      <c r="G118" s="29" t="s">
        <v>76</v>
      </c>
      <c r="H118" s="27"/>
      <c r="I118" s="29" t="s">
        <v>81</v>
      </c>
    </row>
    <row r="119" spans="1:9" ht="18.75">
      <c r="A119" s="7"/>
    </row>
    <row r="120" spans="1:9" ht="18.75">
      <c r="A120" s="7"/>
    </row>
    <row r="121" spans="1:9" ht="18.75">
      <c r="A121" s="7"/>
    </row>
    <row r="122" spans="1:9" ht="18.75">
      <c r="A122" s="7"/>
    </row>
    <row r="123" spans="1:9" ht="18.75">
      <c r="A123" s="7"/>
    </row>
  </sheetData>
  <mergeCells count="23">
    <mergeCell ref="D20:D24"/>
    <mergeCell ref="E20:F22"/>
    <mergeCell ref="G20:G24"/>
    <mergeCell ref="H20:I23"/>
    <mergeCell ref="J20:J22"/>
    <mergeCell ref="E23:E24"/>
    <mergeCell ref="F23:F24"/>
    <mergeCell ref="I28:I29"/>
    <mergeCell ref="J28:J29"/>
    <mergeCell ref="A98:A102"/>
    <mergeCell ref="B98:B102"/>
    <mergeCell ref="D98:D102"/>
    <mergeCell ref="A28:A29"/>
    <mergeCell ref="B28:B29"/>
    <mergeCell ref="C28:C29"/>
    <mergeCell ref="D28:D29"/>
    <mergeCell ref="E28:E29"/>
    <mergeCell ref="F28:F29"/>
    <mergeCell ref="A108:A109"/>
    <mergeCell ref="C108:C109"/>
    <mergeCell ref="D108:D109"/>
    <mergeCell ref="G28:G29"/>
    <mergeCell ref="H28:H29"/>
  </mergeCells>
  <pageMargins left="0.7" right="0.7" top="0.75" bottom="0.75" header="0.3" footer="0.3"/>
  <pageSetup paperSize="9" scale="58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23"/>
  <sheetViews>
    <sheetView topLeftCell="B39" zoomScale="110" zoomScaleNormal="110" workbookViewId="0">
      <selection activeCell="I51" sqref="I51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5.5703125" customWidth="1"/>
    <col min="7" max="7" width="18.85546875" customWidth="1"/>
    <col min="8" max="8" width="23.7109375" customWidth="1"/>
    <col min="9" max="9" width="26.5703125" customWidth="1"/>
    <col min="10" max="10" width="36.28515625" customWidth="1"/>
  </cols>
  <sheetData>
    <row r="1" spans="1:8" ht="23.25">
      <c r="G1" s="77" t="s">
        <v>135</v>
      </c>
    </row>
    <row r="2" spans="1:8" ht="15.75">
      <c r="A2" s="69"/>
      <c r="B2" s="43"/>
      <c r="C2" s="43"/>
      <c r="D2" s="43"/>
      <c r="E2" s="119"/>
      <c r="F2" s="119"/>
      <c r="G2" s="69" t="s">
        <v>0</v>
      </c>
      <c r="H2" s="69"/>
    </row>
    <row r="3" spans="1:8" ht="15.75">
      <c r="A3" s="69"/>
      <c r="B3" s="43"/>
      <c r="C3" s="43"/>
      <c r="D3" s="43"/>
      <c r="E3" s="119"/>
      <c r="F3" s="119"/>
      <c r="G3" s="69" t="s">
        <v>1</v>
      </c>
      <c r="H3" s="69"/>
    </row>
    <row r="4" spans="1:8" ht="15.75">
      <c r="A4" s="69"/>
      <c r="B4" s="43"/>
      <c r="C4" s="43"/>
      <c r="D4" s="43"/>
      <c r="E4" s="119"/>
      <c r="F4" s="119"/>
      <c r="G4" s="69" t="s">
        <v>2</v>
      </c>
      <c r="H4" s="69"/>
    </row>
    <row r="5" spans="1:8" ht="15.75">
      <c r="A5" s="69"/>
      <c r="B5" s="43"/>
      <c r="C5" s="43"/>
      <c r="D5" s="43"/>
      <c r="E5" s="119"/>
      <c r="F5" s="119"/>
      <c r="G5" s="69" t="s">
        <v>3</v>
      </c>
      <c r="H5" s="69"/>
    </row>
    <row r="6" spans="1:8" ht="15.75">
      <c r="A6" s="69"/>
      <c r="B6" s="43"/>
      <c r="C6" s="43"/>
      <c r="D6" s="43"/>
      <c r="E6" s="119"/>
      <c r="F6" s="119"/>
      <c r="G6" s="69" t="s">
        <v>4</v>
      </c>
      <c r="H6" s="69"/>
    </row>
    <row r="7" spans="1:8" ht="15.75">
      <c r="A7" s="69"/>
      <c r="B7" s="43"/>
      <c r="C7" s="43"/>
      <c r="D7" s="43"/>
      <c r="E7" s="119"/>
      <c r="F7" s="119"/>
      <c r="G7" s="69" t="s">
        <v>5</v>
      </c>
      <c r="H7" s="69"/>
    </row>
    <row r="8" spans="1:8" ht="15.75">
      <c r="A8" s="69"/>
      <c r="B8" s="43"/>
      <c r="C8" s="43"/>
      <c r="D8" s="43"/>
      <c r="E8" s="119"/>
      <c r="F8" s="119"/>
      <c r="G8" s="69" t="s">
        <v>6</v>
      </c>
      <c r="H8" s="69"/>
    </row>
    <row r="9" spans="1:8" ht="15.75">
      <c r="A9" s="44"/>
      <c r="B9" s="43"/>
      <c r="C9" s="43"/>
      <c r="D9" s="43"/>
      <c r="E9" s="119"/>
      <c r="F9" s="119"/>
      <c r="G9" s="69" t="s">
        <v>7</v>
      </c>
      <c r="H9" s="44"/>
    </row>
    <row r="10" spans="1:8" ht="15.75">
      <c r="A10" s="69"/>
      <c r="B10" s="43"/>
      <c r="C10" s="43"/>
      <c r="D10" s="43"/>
      <c r="E10" s="119"/>
      <c r="F10" s="119"/>
      <c r="G10" s="69" t="s">
        <v>8</v>
      </c>
      <c r="H10" s="69"/>
    </row>
    <row r="11" spans="1:8" ht="15.75">
      <c r="A11" s="45"/>
      <c r="B11" s="43"/>
      <c r="C11" s="43"/>
      <c r="D11" s="43"/>
      <c r="E11" s="43"/>
      <c r="F11" s="43"/>
      <c r="G11" s="43"/>
      <c r="H11" s="43"/>
    </row>
    <row r="12" spans="1:8" ht="18.75">
      <c r="A12" s="47"/>
      <c r="B12" s="49" t="s">
        <v>101</v>
      </c>
      <c r="C12" s="49"/>
      <c r="D12" s="49"/>
      <c r="E12" s="48"/>
      <c r="F12" s="48"/>
      <c r="G12" s="48"/>
      <c r="H12" s="48"/>
    </row>
    <row r="13" spans="1:8" ht="15.75">
      <c r="A13" s="43"/>
      <c r="B13" s="50" t="s">
        <v>100</v>
      </c>
      <c r="C13" s="51"/>
      <c r="D13" s="51"/>
      <c r="E13" s="51"/>
      <c r="F13" s="43"/>
      <c r="G13" s="43"/>
      <c r="H13" s="43"/>
    </row>
    <row r="14" spans="1:8" ht="15.75">
      <c r="A14" s="45"/>
      <c r="B14" s="43"/>
      <c r="C14" s="43"/>
      <c r="D14" s="43"/>
      <c r="E14" s="43"/>
      <c r="F14" s="43"/>
      <c r="G14" s="43"/>
      <c r="H14" s="43"/>
    </row>
    <row r="15" spans="1:8" ht="18.75">
      <c r="A15" s="46"/>
      <c r="B15" s="51" t="s">
        <v>138</v>
      </c>
      <c r="C15" s="43"/>
      <c r="D15" s="43"/>
      <c r="E15" s="43"/>
      <c r="F15" s="43"/>
      <c r="G15" s="43"/>
      <c r="H15" s="43"/>
    </row>
    <row r="16" spans="1:8" ht="18.75">
      <c r="A16" s="6"/>
    </row>
    <row r="17" spans="1:10" ht="2.25" customHeight="1" thickBot="1">
      <c r="A17" s="4"/>
    </row>
    <row r="18" spans="1:10" ht="16.5" hidden="1" thickBot="1">
      <c r="A18" s="4"/>
    </row>
    <row r="19" spans="1:10" ht="19.5" hidden="1" thickBot="1">
      <c r="A19" s="7"/>
    </row>
    <row r="20" spans="1:10" ht="47.25">
      <c r="A20" s="136" t="s">
        <v>10</v>
      </c>
      <c r="B20" s="139" t="s">
        <v>12</v>
      </c>
      <c r="C20" s="139" t="s">
        <v>14</v>
      </c>
      <c r="D20" s="179" t="s">
        <v>19</v>
      </c>
      <c r="E20" s="182" t="s">
        <v>20</v>
      </c>
      <c r="F20" s="183"/>
      <c r="G20" s="179" t="s">
        <v>21</v>
      </c>
      <c r="H20" s="182" t="s">
        <v>20</v>
      </c>
      <c r="I20" s="183"/>
      <c r="J20" s="188"/>
    </row>
    <row r="21" spans="1:10" ht="31.5">
      <c r="A21" s="137" t="s">
        <v>11</v>
      </c>
      <c r="B21" s="140" t="s">
        <v>13</v>
      </c>
      <c r="C21" s="140" t="s">
        <v>15</v>
      </c>
      <c r="D21" s="180"/>
      <c r="E21" s="184"/>
      <c r="F21" s="185"/>
      <c r="G21" s="180"/>
      <c r="H21" s="184"/>
      <c r="I21" s="185"/>
      <c r="J21" s="188"/>
    </row>
    <row r="22" spans="1:10" ht="48" thickBot="1">
      <c r="A22" s="8"/>
      <c r="B22" s="10"/>
      <c r="C22" s="140" t="s">
        <v>16</v>
      </c>
      <c r="D22" s="180"/>
      <c r="E22" s="186"/>
      <c r="F22" s="187"/>
      <c r="G22" s="180"/>
      <c r="H22" s="184"/>
      <c r="I22" s="185"/>
      <c r="J22" s="188"/>
    </row>
    <row r="23" spans="1:10" ht="48" thickBot="1">
      <c r="A23" s="8"/>
      <c r="B23" s="10"/>
      <c r="C23" s="140" t="s">
        <v>17</v>
      </c>
      <c r="D23" s="180"/>
      <c r="E23" s="179" t="s">
        <v>22</v>
      </c>
      <c r="F23" s="179" t="s">
        <v>23</v>
      </c>
      <c r="G23" s="180"/>
      <c r="H23" s="186"/>
      <c r="I23" s="187"/>
      <c r="J23" s="12"/>
    </row>
    <row r="24" spans="1:10" ht="32.25" thickBot="1">
      <c r="A24" s="9"/>
      <c r="B24" s="11"/>
      <c r="C24" s="141" t="s">
        <v>18</v>
      </c>
      <c r="D24" s="181"/>
      <c r="E24" s="181"/>
      <c r="F24" s="181"/>
      <c r="G24" s="181"/>
      <c r="H24" s="141" t="s">
        <v>22</v>
      </c>
      <c r="I24" s="141" t="s">
        <v>23</v>
      </c>
      <c r="J24" s="12"/>
    </row>
    <row r="25" spans="1:10" ht="16.5" thickBot="1">
      <c r="A25" s="138">
        <v>1</v>
      </c>
      <c r="B25" s="141">
        <v>2</v>
      </c>
      <c r="C25" s="141">
        <v>3</v>
      </c>
      <c r="D25" s="141">
        <v>4</v>
      </c>
      <c r="E25" s="141"/>
      <c r="F25" s="141"/>
      <c r="G25" s="141"/>
      <c r="H25" s="141">
        <v>5</v>
      </c>
      <c r="I25" s="141">
        <v>6</v>
      </c>
      <c r="J25" s="12"/>
    </row>
    <row r="26" spans="1:10" ht="29.25" customHeight="1" thickBot="1">
      <c r="A26" s="143" t="s">
        <v>24</v>
      </c>
      <c r="B26" s="144" t="s">
        <v>105</v>
      </c>
      <c r="C26" s="152" t="s">
        <v>26</v>
      </c>
      <c r="D26" s="152">
        <v>4197132</v>
      </c>
      <c r="E26" s="152">
        <v>3749604</v>
      </c>
      <c r="F26" s="152">
        <v>518823</v>
      </c>
      <c r="G26" s="152">
        <f>H26+I26</f>
        <v>51261124.810000002</v>
      </c>
      <c r="H26" s="152">
        <v>44995247.810000002</v>
      </c>
      <c r="I26" s="152">
        <v>6265877</v>
      </c>
      <c r="J26" s="12"/>
    </row>
    <row r="27" spans="1:10" ht="38.25" customHeight="1" thickBot="1">
      <c r="A27" s="143" t="s">
        <v>27</v>
      </c>
      <c r="B27" s="144" t="s">
        <v>28</v>
      </c>
      <c r="C27" s="152" t="s">
        <v>29</v>
      </c>
      <c r="D27" s="152">
        <f>E27+F27</f>
        <v>4418408.49</v>
      </c>
      <c r="E27" s="152">
        <v>2599708.35</v>
      </c>
      <c r="F27" s="152">
        <v>1818700.14</v>
      </c>
      <c r="G27" s="152">
        <f>H27+I27</f>
        <v>4418408.49</v>
      </c>
      <c r="H27" s="152">
        <v>2599708.35</v>
      </c>
      <c r="I27" s="152">
        <v>1818700.14</v>
      </c>
      <c r="J27" s="12"/>
    </row>
    <row r="28" spans="1:10" ht="27" customHeight="1">
      <c r="A28" s="204" t="s">
        <v>30</v>
      </c>
      <c r="B28" s="204" t="s">
        <v>31</v>
      </c>
      <c r="C28" s="206" t="s">
        <v>32</v>
      </c>
      <c r="D28" s="206">
        <f>E28+F28</f>
        <v>4106018.51</v>
      </c>
      <c r="E28" s="206">
        <v>3586018.51</v>
      </c>
      <c r="F28" s="206">
        <v>520000</v>
      </c>
      <c r="G28" s="206">
        <f>H28+I28</f>
        <v>38329429.5</v>
      </c>
      <c r="H28" s="206">
        <f>29453944.99+3586018.51</f>
        <v>33039963.5</v>
      </c>
      <c r="I28" s="206">
        <f>4769466+520000</f>
        <v>5289466</v>
      </c>
      <c r="J28" s="188"/>
    </row>
    <row r="29" spans="1:10" ht="24" customHeight="1" thickBot="1">
      <c r="A29" s="205"/>
      <c r="B29" s="205"/>
      <c r="C29" s="207"/>
      <c r="D29" s="207"/>
      <c r="E29" s="207"/>
      <c r="F29" s="207"/>
      <c r="G29" s="207"/>
      <c r="H29" s="207"/>
      <c r="I29" s="207"/>
      <c r="J29" s="188"/>
    </row>
    <row r="30" spans="1:10" ht="47.25" customHeight="1" thickBot="1">
      <c r="A30" s="145" t="s">
        <v>33</v>
      </c>
      <c r="B30" s="146" t="s">
        <v>34</v>
      </c>
      <c r="C30" s="154">
        <v>900</v>
      </c>
      <c r="D30" s="154">
        <f>E30+F30</f>
        <v>5522833.5500000007</v>
      </c>
      <c r="E30" s="154">
        <f t="shared" ref="E30:I30" si="0">E32+E37+E44+E47+E48</f>
        <v>5125924.7200000007</v>
      </c>
      <c r="F30" s="154">
        <f t="shared" si="0"/>
        <v>396908.83</v>
      </c>
      <c r="G30" s="154">
        <f t="shared" si="0"/>
        <v>35327836.050000004</v>
      </c>
      <c r="H30" s="154">
        <f t="shared" si="0"/>
        <v>31980161.359999999</v>
      </c>
      <c r="I30" s="154">
        <f t="shared" si="0"/>
        <v>3347674.6900000004</v>
      </c>
      <c r="J30" s="12"/>
    </row>
    <row r="31" spans="1:10" ht="16.5" thickBot="1">
      <c r="A31" s="143"/>
      <c r="B31" s="144" t="s">
        <v>35</v>
      </c>
      <c r="C31" s="144"/>
      <c r="D31" s="144"/>
      <c r="E31" s="144"/>
      <c r="F31" s="144"/>
      <c r="G31" s="144"/>
      <c r="H31" s="144"/>
      <c r="I31" s="144"/>
      <c r="J31" s="12"/>
    </row>
    <row r="32" spans="1:10" ht="32.25" thickBot="1">
      <c r="A32" s="143" t="s">
        <v>36</v>
      </c>
      <c r="B32" s="144" t="s">
        <v>37</v>
      </c>
      <c r="C32" s="144">
        <v>210</v>
      </c>
      <c r="D32" s="147">
        <f>D34+D35+D36</f>
        <v>5255147.54</v>
      </c>
      <c r="E32" s="147">
        <f>E34+E35+E36</f>
        <v>4990332.07</v>
      </c>
      <c r="F32" s="147">
        <f>F34+F35+F36</f>
        <v>264815.47000000003</v>
      </c>
      <c r="G32" s="152">
        <f t="shared" ref="G32:I32" si="1">G34+G35+G36</f>
        <v>32590004.729999997</v>
      </c>
      <c r="H32" s="152">
        <f t="shared" si="1"/>
        <v>30852524.869999997</v>
      </c>
      <c r="I32" s="152">
        <f t="shared" si="1"/>
        <v>1737479.8599999999</v>
      </c>
      <c r="J32" s="12"/>
    </row>
    <row r="33" spans="1:10" ht="16.5" thickBot="1">
      <c r="A33" s="143"/>
      <c r="B33" s="144" t="s">
        <v>38</v>
      </c>
      <c r="C33" s="144"/>
      <c r="D33" s="144"/>
      <c r="E33" s="144"/>
      <c r="F33" s="144"/>
      <c r="G33" s="144"/>
      <c r="H33" s="144"/>
      <c r="I33" s="144"/>
      <c r="J33" s="12"/>
    </row>
    <row r="34" spans="1:10" ht="16.5" thickBot="1">
      <c r="A34" s="143" t="s">
        <v>39</v>
      </c>
      <c r="B34" s="144" t="s">
        <v>40</v>
      </c>
      <c r="C34" s="144">
        <v>211</v>
      </c>
      <c r="D34" s="144">
        <f>E34+F34</f>
        <v>3553031.94</v>
      </c>
      <c r="E34" s="144">
        <v>3382801.9</v>
      </c>
      <c r="F34" s="144">
        <v>170230.04</v>
      </c>
      <c r="G34" s="144">
        <f>H34+I34</f>
        <v>25198404.859999999</v>
      </c>
      <c r="H34" s="144">
        <f>20574628.75+3382801.9</f>
        <v>23957430.649999999</v>
      </c>
      <c r="I34" s="144">
        <f>1070744.17+170230.04</f>
        <v>1240974.21</v>
      </c>
      <c r="J34" s="12"/>
    </row>
    <row r="35" spans="1:10" ht="16.5" thickBot="1">
      <c r="A35" s="143" t="s">
        <v>41</v>
      </c>
      <c r="B35" s="144" t="s">
        <v>42</v>
      </c>
      <c r="C35" s="144">
        <v>212</v>
      </c>
      <c r="D35" s="144">
        <f>E35+F35</f>
        <v>15805.44</v>
      </c>
      <c r="E35" s="144"/>
      <c r="F35" s="144">
        <v>15805.44</v>
      </c>
      <c r="G35" s="144">
        <f>H35+I35</f>
        <v>75716.72</v>
      </c>
      <c r="H35" s="144"/>
      <c r="I35" s="144">
        <f>59911.28+15805.44</f>
        <v>75716.72</v>
      </c>
      <c r="J35" s="12"/>
    </row>
    <row r="36" spans="1:10" ht="16.5" thickBot="1">
      <c r="A36" s="143" t="s">
        <v>43</v>
      </c>
      <c r="B36" s="144" t="s">
        <v>44</v>
      </c>
      <c r="C36" s="144">
        <v>213</v>
      </c>
      <c r="D36" s="144">
        <f>E36+F36</f>
        <v>1686310.16</v>
      </c>
      <c r="E36" s="144">
        <v>1607530.17</v>
      </c>
      <c r="F36" s="144">
        <v>78779.990000000005</v>
      </c>
      <c r="G36" s="144">
        <f>H36+I36</f>
        <v>7315883.1499999994</v>
      </c>
      <c r="H36" s="144">
        <f>5287564.05+1607530.17</f>
        <v>6895094.2199999997</v>
      </c>
      <c r="I36" s="144">
        <f>342008.94+78779.99</f>
        <v>420788.93</v>
      </c>
      <c r="J36" s="12"/>
    </row>
    <row r="37" spans="1:10" ht="16.5" thickBot="1">
      <c r="A37" s="143" t="s">
        <v>45</v>
      </c>
      <c r="B37" s="144" t="s">
        <v>46</v>
      </c>
      <c r="C37" s="147">
        <v>220</v>
      </c>
      <c r="D37" s="147">
        <f>E37+F37</f>
        <v>225014.32</v>
      </c>
      <c r="E37" s="147">
        <f>E38+E39+E40+E41+E42+E43</f>
        <v>120980.16</v>
      </c>
      <c r="F37" s="147">
        <f>F38+F39+F40+F41+F42+F43</f>
        <v>104034.15999999999</v>
      </c>
      <c r="G37" s="147">
        <f>G39+G40+G41+G42+G43</f>
        <v>1362342.17</v>
      </c>
      <c r="H37" s="147">
        <f>H39+H40+H41+H42+H43</f>
        <v>124980.16</v>
      </c>
      <c r="I37" s="147">
        <f>I39+I40+I41+I42+I43</f>
        <v>1237362.01</v>
      </c>
      <c r="J37" s="12"/>
    </row>
    <row r="38" spans="1:10" ht="16.5" thickBot="1">
      <c r="A38" s="143"/>
      <c r="B38" s="144" t="s">
        <v>38</v>
      </c>
      <c r="C38" s="144"/>
      <c r="D38" s="144"/>
      <c r="E38" s="144"/>
      <c r="F38" s="144"/>
      <c r="G38" s="144"/>
      <c r="H38" s="144"/>
      <c r="I38" s="144"/>
      <c r="J38" s="12"/>
    </row>
    <row r="39" spans="1:10" ht="16.5" thickBot="1">
      <c r="A39" s="143" t="s">
        <v>47</v>
      </c>
      <c r="B39" s="144" t="s">
        <v>48</v>
      </c>
      <c r="C39" s="144">
        <v>221</v>
      </c>
      <c r="D39" s="144">
        <f>E39+F39</f>
        <v>3826.79</v>
      </c>
      <c r="E39" s="144"/>
      <c r="F39" s="144">
        <v>3826.79</v>
      </c>
      <c r="G39" s="144">
        <f>H39+I39</f>
        <v>22680.06</v>
      </c>
      <c r="H39" s="144">
        <v>4000</v>
      </c>
      <c r="I39" s="144">
        <f>14853.27+3826.79</f>
        <v>18680.060000000001</v>
      </c>
      <c r="J39" s="12"/>
    </row>
    <row r="40" spans="1:10" ht="26.25" customHeight="1" thickBot="1">
      <c r="A40" s="143" t="s">
        <v>49</v>
      </c>
      <c r="B40" s="144" t="s">
        <v>50</v>
      </c>
      <c r="C40" s="144">
        <v>222</v>
      </c>
      <c r="D40" s="144">
        <f t="shared" ref="D40:D43" si="2">E40+F40</f>
        <v>1400</v>
      </c>
      <c r="E40" s="144"/>
      <c r="F40" s="144">
        <v>1400</v>
      </c>
      <c r="G40" s="144">
        <f>H40+I40</f>
        <v>2766</v>
      </c>
      <c r="H40" s="144"/>
      <c r="I40" s="144">
        <f>1366+1400</f>
        <v>2766</v>
      </c>
      <c r="J40" s="12"/>
    </row>
    <row r="41" spans="1:10" ht="29.25" customHeight="1" thickBot="1">
      <c r="A41" s="143" t="s">
        <v>51</v>
      </c>
      <c r="B41" s="144" t="s">
        <v>52</v>
      </c>
      <c r="C41" s="144">
        <v>223</v>
      </c>
      <c r="D41" s="144">
        <f t="shared" si="2"/>
        <v>29229.439999999999</v>
      </c>
      <c r="E41" s="144"/>
      <c r="F41" s="144">
        <v>29229.439999999999</v>
      </c>
      <c r="G41" s="144">
        <f>H41+I41</f>
        <v>311764.25</v>
      </c>
      <c r="H41" s="144"/>
      <c r="I41" s="144">
        <f>282534.81+29229.44</f>
        <v>311764.25</v>
      </c>
      <c r="J41" s="12"/>
    </row>
    <row r="42" spans="1:10" ht="16.5" thickBot="1">
      <c r="A42" s="143" t="s">
        <v>53</v>
      </c>
      <c r="B42" s="144" t="s">
        <v>54</v>
      </c>
      <c r="C42" s="144">
        <v>225</v>
      </c>
      <c r="D42" s="144">
        <f t="shared" si="2"/>
        <v>44348.17</v>
      </c>
      <c r="E42" s="144"/>
      <c r="F42" s="144">
        <v>44348.17</v>
      </c>
      <c r="G42" s="144">
        <f>H42+I42</f>
        <v>478252.07</v>
      </c>
      <c r="H42" s="144"/>
      <c r="I42" s="144">
        <f>433903.9+44348.17</f>
        <v>478252.07</v>
      </c>
      <c r="J42" s="12"/>
    </row>
    <row r="43" spans="1:10" ht="30" customHeight="1" thickBot="1">
      <c r="A43" s="143" t="s">
        <v>55</v>
      </c>
      <c r="B43" s="144" t="s">
        <v>56</v>
      </c>
      <c r="C43" s="144">
        <v>226</v>
      </c>
      <c r="D43" s="144">
        <f t="shared" si="2"/>
        <v>146209.92000000001</v>
      </c>
      <c r="E43" s="144">
        <v>120980.16</v>
      </c>
      <c r="F43" s="144">
        <v>25229.759999999998</v>
      </c>
      <c r="G43" s="144">
        <f>H43+I43</f>
        <v>546879.79</v>
      </c>
      <c r="H43" s="144">
        <f>120980.16</f>
        <v>120980.16</v>
      </c>
      <c r="I43" s="144">
        <f>400669.87+25229.76</f>
        <v>425899.63</v>
      </c>
      <c r="J43" s="12"/>
    </row>
    <row r="44" spans="1:10" ht="16.5" thickBot="1">
      <c r="A44" s="143" t="s">
        <v>57</v>
      </c>
      <c r="B44" s="144" t="s">
        <v>58</v>
      </c>
      <c r="C44" s="147">
        <v>260</v>
      </c>
      <c r="D44" s="147">
        <f t="shared" ref="D44:G44" si="3">D46</f>
        <v>0</v>
      </c>
      <c r="E44" s="147"/>
      <c r="F44" s="147"/>
      <c r="G44" s="147">
        <f t="shared" si="3"/>
        <v>0</v>
      </c>
      <c r="H44" s="147"/>
      <c r="I44" s="147"/>
      <c r="J44" s="12"/>
    </row>
    <row r="45" spans="1:10" ht="16.5" thickBot="1">
      <c r="A45" s="143"/>
      <c r="B45" s="144" t="s">
        <v>38</v>
      </c>
      <c r="C45" s="144"/>
      <c r="D45" s="144"/>
      <c r="E45" s="144"/>
      <c r="F45" s="144"/>
      <c r="G45" s="144"/>
      <c r="H45" s="144"/>
      <c r="I45" s="144"/>
      <c r="J45" s="12"/>
    </row>
    <row r="46" spans="1:10" ht="16.5" thickBot="1">
      <c r="A46" s="143" t="s">
        <v>59</v>
      </c>
      <c r="B46" s="144" t="s">
        <v>60</v>
      </c>
      <c r="C46" s="144">
        <v>262</v>
      </c>
      <c r="D46" s="144"/>
      <c r="E46" s="144"/>
      <c r="F46" s="144"/>
      <c r="G46" s="144"/>
      <c r="H46" s="144"/>
      <c r="I46" s="144"/>
      <c r="J46" s="12"/>
    </row>
    <row r="47" spans="1:10" ht="38.25" customHeight="1" thickBot="1">
      <c r="A47" s="143" t="s">
        <v>61</v>
      </c>
      <c r="B47" s="144" t="s">
        <v>62</v>
      </c>
      <c r="C47" s="147">
        <v>290</v>
      </c>
      <c r="D47" s="147">
        <f>E47+F47</f>
        <v>21783.200000000001</v>
      </c>
      <c r="E47" s="147"/>
      <c r="F47" s="147">
        <v>21783.200000000001</v>
      </c>
      <c r="G47" s="147">
        <f>H47+I47</f>
        <v>95885.7</v>
      </c>
      <c r="H47" s="147"/>
      <c r="I47" s="147">
        <f>74102.5+21783.2</f>
        <v>95885.7</v>
      </c>
      <c r="J47" s="12"/>
    </row>
    <row r="48" spans="1:10" ht="33" customHeight="1" thickBot="1">
      <c r="A48" s="143" t="s">
        <v>63</v>
      </c>
      <c r="B48" s="144" t="s">
        <v>64</v>
      </c>
      <c r="C48" s="147">
        <v>300</v>
      </c>
      <c r="D48" s="147">
        <f t="shared" ref="D48:I48" si="4">D50+D51</f>
        <v>20888.489999999998</v>
      </c>
      <c r="E48" s="147">
        <f t="shared" si="4"/>
        <v>14612.49</v>
      </c>
      <c r="F48" s="147">
        <f>F50+F51</f>
        <v>6276</v>
      </c>
      <c r="G48" s="147">
        <f t="shared" si="4"/>
        <v>1279603.4500000002</v>
      </c>
      <c r="H48" s="147">
        <f t="shared" si="4"/>
        <v>1002656.3300000001</v>
      </c>
      <c r="I48" s="147">
        <f t="shared" si="4"/>
        <v>276947.12</v>
      </c>
      <c r="J48" s="12"/>
    </row>
    <row r="49" spans="1:10" ht="16.5" thickBot="1">
      <c r="A49" s="143"/>
      <c r="B49" s="144" t="s">
        <v>38</v>
      </c>
      <c r="C49" s="144"/>
      <c r="D49" s="144"/>
      <c r="E49" s="144"/>
      <c r="F49" s="144"/>
      <c r="G49" s="144"/>
      <c r="H49" s="144"/>
      <c r="I49" s="144"/>
      <c r="J49" s="12"/>
    </row>
    <row r="50" spans="1:10" ht="16.5" thickBot="1">
      <c r="A50" s="143" t="s">
        <v>65</v>
      </c>
      <c r="B50" s="144" t="s">
        <v>66</v>
      </c>
      <c r="C50" s="144">
        <v>310</v>
      </c>
      <c r="D50" s="144">
        <f>E50+F50</f>
        <v>14612.49</v>
      </c>
      <c r="E50" s="144">
        <v>14612.49</v>
      </c>
      <c r="F50" s="144"/>
      <c r="G50" s="144">
        <f>H50+I50</f>
        <v>707390.05</v>
      </c>
      <c r="H50" s="144">
        <f>653267.56+14612.49</f>
        <v>667880.05000000005</v>
      </c>
      <c r="I50" s="144">
        <f>39510</f>
        <v>39510</v>
      </c>
      <c r="J50" s="12"/>
    </row>
    <row r="51" spans="1:10" ht="16.5" thickBot="1">
      <c r="A51" s="143" t="s">
        <v>67</v>
      </c>
      <c r="B51" s="144" t="s">
        <v>68</v>
      </c>
      <c r="C51" s="144">
        <v>340</v>
      </c>
      <c r="D51" s="144">
        <f>E51+F51</f>
        <v>6276</v>
      </c>
      <c r="E51" s="144"/>
      <c r="F51" s="144">
        <v>6276</v>
      </c>
      <c r="G51" s="144">
        <f>H51+I51</f>
        <v>572213.4</v>
      </c>
      <c r="H51" s="144">
        <v>334776.28000000003</v>
      </c>
      <c r="I51" s="144">
        <f>231161.12+6276</f>
        <v>237437.12</v>
      </c>
      <c r="J51" s="12"/>
    </row>
    <row r="52" spans="1:10" ht="32.25" thickBot="1">
      <c r="A52" s="143" t="s">
        <v>69</v>
      </c>
      <c r="B52" s="144" t="s">
        <v>70</v>
      </c>
      <c r="C52" s="152" t="s">
        <v>26</v>
      </c>
      <c r="D52" s="152">
        <f>G27+D28-D30</f>
        <v>3001593.4499999993</v>
      </c>
      <c r="E52" s="152">
        <f>H27+E28-E30</f>
        <v>1059802.1399999987</v>
      </c>
      <c r="F52" s="152">
        <f>I27+F28-F30</f>
        <v>1941791.3099999996</v>
      </c>
      <c r="G52" s="152">
        <f>G28-G30</f>
        <v>3001593.4499999955</v>
      </c>
      <c r="H52" s="152">
        <f>H28-H30</f>
        <v>1059802.1400000006</v>
      </c>
      <c r="I52" s="152">
        <f>I28-I30</f>
        <v>1941791.3099999996</v>
      </c>
      <c r="J52" s="12"/>
    </row>
    <row r="53" spans="1:10" ht="9" customHeight="1">
      <c r="A53" s="23"/>
    </row>
    <row r="54" spans="1:10" ht="27.75" customHeight="1" thickBot="1">
      <c r="A54" s="24" t="s">
        <v>71</v>
      </c>
      <c r="B54" s="25"/>
      <c r="C54" s="26" t="s">
        <v>72</v>
      </c>
      <c r="D54" s="25"/>
      <c r="E54" s="26"/>
      <c r="F54" s="25"/>
      <c r="G54" s="26" t="s">
        <v>73</v>
      </c>
      <c r="H54" s="25"/>
      <c r="I54" s="25"/>
    </row>
    <row r="55" spans="1:10" ht="9.75" customHeight="1">
      <c r="A55" s="27"/>
      <c r="B55" s="27"/>
      <c r="C55" s="28" t="s">
        <v>74</v>
      </c>
      <c r="D55" s="27"/>
      <c r="E55" s="28" t="s">
        <v>75</v>
      </c>
      <c r="F55" s="27"/>
      <c r="G55" s="28" t="s">
        <v>76</v>
      </c>
      <c r="H55" s="29"/>
      <c r="I55" s="29"/>
    </row>
    <row r="56" spans="1:10" ht="24.75" thickBot="1">
      <c r="A56" s="24" t="s">
        <v>77</v>
      </c>
      <c r="B56" s="25"/>
      <c r="C56" s="26"/>
      <c r="D56" s="25"/>
      <c r="E56" s="26" t="s">
        <v>78</v>
      </c>
      <c r="F56" s="25"/>
      <c r="G56" s="25"/>
      <c r="H56" s="25"/>
      <c r="I56" s="25"/>
    </row>
    <row r="57" spans="1:10" ht="8.25" customHeight="1">
      <c r="A57" s="29"/>
      <c r="B57" s="27"/>
      <c r="C57" s="29" t="s">
        <v>75</v>
      </c>
      <c r="D57" s="27"/>
      <c r="E57" s="29" t="s">
        <v>76</v>
      </c>
      <c r="F57" s="27"/>
      <c r="G57" s="27"/>
      <c r="H57" s="27"/>
      <c r="I57" s="27"/>
    </row>
    <row r="58" spans="1:10" ht="24.75" thickBot="1">
      <c r="A58" s="24" t="s">
        <v>79</v>
      </c>
      <c r="B58" s="25"/>
      <c r="C58" s="30" t="s">
        <v>77</v>
      </c>
      <c r="D58" s="25"/>
      <c r="E58" s="30"/>
      <c r="F58" s="25"/>
      <c r="G58" s="26" t="s">
        <v>78</v>
      </c>
      <c r="H58" s="25"/>
      <c r="I58" s="26" t="s">
        <v>80</v>
      </c>
    </row>
    <row r="59" spans="1:10">
      <c r="A59" s="29"/>
      <c r="B59" s="27"/>
      <c r="C59" s="29" t="s">
        <v>74</v>
      </c>
      <c r="D59" s="27"/>
      <c r="E59" s="29" t="s">
        <v>75</v>
      </c>
      <c r="F59" s="27"/>
      <c r="G59" s="29" t="s">
        <v>76</v>
      </c>
      <c r="H59" s="27"/>
      <c r="I59" s="29" t="s">
        <v>81</v>
      </c>
    </row>
    <row r="60" spans="1:10" ht="18.75">
      <c r="A60" s="7"/>
    </row>
    <row r="61" spans="1:10" ht="18.75">
      <c r="A61" s="7"/>
    </row>
    <row r="62" spans="1:10" ht="18.75">
      <c r="A62" s="7"/>
    </row>
    <row r="63" spans="1:10" ht="18.75">
      <c r="A63" s="7"/>
    </row>
    <row r="64" spans="1:10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7" spans="1:1" ht="15.75">
      <c r="A77" s="1"/>
    </row>
    <row r="78" spans="1:1" ht="15.75">
      <c r="A78" s="1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2"/>
    </row>
    <row r="85" spans="1:1" ht="15.75">
      <c r="A85" s="1"/>
    </row>
    <row r="86" spans="1:1" ht="18.75">
      <c r="A86" s="31"/>
    </row>
    <row r="87" spans="1:1" ht="15.75">
      <c r="A87" s="5" t="s">
        <v>84</v>
      </c>
    </row>
    <row r="88" spans="1:1" ht="15.75">
      <c r="A88" s="5" t="s">
        <v>85</v>
      </c>
    </row>
    <row r="89" spans="1:1" ht="15.75">
      <c r="A89" s="5" t="s">
        <v>86</v>
      </c>
    </row>
    <row r="90" spans="1:1" ht="15.75">
      <c r="A90" s="4"/>
    </row>
    <row r="91" spans="1:1" ht="15.75">
      <c r="A91" s="4"/>
    </row>
    <row r="92" spans="1:1" ht="15.75">
      <c r="A92" s="4" t="s">
        <v>9</v>
      </c>
    </row>
    <row r="93" spans="1:1" ht="18.75">
      <c r="A93" s="6"/>
    </row>
    <row r="94" spans="1:1" ht="15.75">
      <c r="A94" s="4" t="s">
        <v>87</v>
      </c>
    </row>
    <row r="95" spans="1:1" ht="15.75">
      <c r="A95" s="4"/>
    </row>
    <row r="96" spans="1:1" ht="18.75">
      <c r="A96" s="7"/>
    </row>
    <row r="97" spans="1:4" ht="16.5" thickBot="1">
      <c r="A97" s="4"/>
    </row>
    <row r="98" spans="1:4" ht="47.25">
      <c r="A98" s="191" t="s">
        <v>88</v>
      </c>
      <c r="B98" s="191" t="s">
        <v>89</v>
      </c>
      <c r="C98" s="32" t="s">
        <v>14</v>
      </c>
      <c r="D98" s="191" t="s">
        <v>92</v>
      </c>
    </row>
    <row r="99" spans="1:4" ht="31.5">
      <c r="A99" s="192"/>
      <c r="B99" s="192"/>
      <c r="C99" s="33" t="s">
        <v>90</v>
      </c>
      <c r="D99" s="192"/>
    </row>
    <row r="100" spans="1:4" ht="47.25">
      <c r="A100" s="192"/>
      <c r="B100" s="192"/>
      <c r="C100" s="33" t="s">
        <v>16</v>
      </c>
      <c r="D100" s="192"/>
    </row>
    <row r="101" spans="1:4" ht="47.25">
      <c r="A101" s="192"/>
      <c r="B101" s="192"/>
      <c r="C101" s="33" t="s">
        <v>17</v>
      </c>
      <c r="D101" s="192"/>
    </row>
    <row r="102" spans="1:4" ht="32.25" thickBot="1">
      <c r="A102" s="193"/>
      <c r="B102" s="193"/>
      <c r="C102" s="34" t="s">
        <v>91</v>
      </c>
      <c r="D102" s="193"/>
    </row>
    <row r="103" spans="1:4" ht="16.5" thickBot="1">
      <c r="A103" s="142">
        <v>1</v>
      </c>
      <c r="B103" s="34">
        <v>2</v>
      </c>
      <c r="C103" s="34">
        <v>3</v>
      </c>
      <c r="D103" s="34">
        <v>4</v>
      </c>
    </row>
    <row r="104" spans="1:4" ht="16.5" thickBot="1">
      <c r="A104" s="142" t="s">
        <v>24</v>
      </c>
      <c r="B104" s="141"/>
      <c r="C104" s="141"/>
      <c r="D104" s="35"/>
    </row>
    <row r="105" spans="1:4" ht="16.5" thickBot="1">
      <c r="A105" s="142" t="s">
        <v>93</v>
      </c>
      <c r="B105" s="141"/>
      <c r="C105" s="141"/>
      <c r="D105" s="35"/>
    </row>
    <row r="106" spans="1:4" ht="16.5" thickBot="1">
      <c r="A106" s="142" t="s">
        <v>94</v>
      </c>
      <c r="B106" s="141"/>
      <c r="C106" s="34"/>
      <c r="D106" s="35"/>
    </row>
    <row r="107" spans="1:4" ht="16.5" thickBot="1">
      <c r="A107" s="142"/>
      <c r="B107" s="141" t="s">
        <v>95</v>
      </c>
      <c r="C107" s="34"/>
      <c r="D107" s="35"/>
    </row>
    <row r="108" spans="1:4" ht="15.75">
      <c r="A108" s="191" t="s">
        <v>96</v>
      </c>
      <c r="B108" s="140" t="s">
        <v>97</v>
      </c>
      <c r="C108" s="191"/>
      <c r="D108" s="194"/>
    </row>
    <row r="109" spans="1:4" ht="16.5" thickBot="1">
      <c r="A109" s="193"/>
      <c r="B109" s="141" t="s">
        <v>98</v>
      </c>
      <c r="C109" s="193"/>
      <c r="D109" s="195"/>
    </row>
    <row r="110" spans="1:4" ht="15.75">
      <c r="A110" s="3"/>
    </row>
    <row r="111" spans="1:4" ht="15.75">
      <c r="A111" s="3"/>
    </row>
    <row r="112" spans="1:4" ht="15.75">
      <c r="A112" s="3"/>
    </row>
    <row r="113" spans="1:9" ht="60.75" thickBot="1">
      <c r="A113" s="37" t="s">
        <v>99</v>
      </c>
      <c r="B113" s="25"/>
      <c r="C113" s="26"/>
      <c r="D113" s="25"/>
      <c r="E113" s="26"/>
      <c r="F113" s="25"/>
      <c r="G113" s="26"/>
      <c r="H113" s="25"/>
      <c r="I113" s="25"/>
    </row>
    <row r="114" spans="1:9">
      <c r="A114" s="27"/>
      <c r="B114" s="27"/>
      <c r="C114" s="28" t="s">
        <v>74</v>
      </c>
      <c r="D114" s="27"/>
      <c r="E114" s="28" t="s">
        <v>75</v>
      </c>
      <c r="F114" s="27"/>
      <c r="G114" s="28" t="s">
        <v>76</v>
      </c>
      <c r="H114" s="29"/>
      <c r="I114" s="29"/>
    </row>
    <row r="115" spans="1:9" ht="24.75" thickBot="1">
      <c r="A115" s="24" t="s">
        <v>77</v>
      </c>
      <c r="B115" s="25"/>
      <c r="C115" s="26"/>
      <c r="D115" s="25"/>
      <c r="E115" s="26"/>
      <c r="F115" s="25"/>
      <c r="G115" s="25"/>
      <c r="H115" s="25"/>
      <c r="I115" s="25"/>
    </row>
    <row r="116" spans="1:9">
      <c r="A116" s="29"/>
      <c r="B116" s="27"/>
      <c r="C116" s="29" t="s">
        <v>75</v>
      </c>
      <c r="D116" s="27"/>
      <c r="E116" s="29" t="s">
        <v>76</v>
      </c>
      <c r="F116" s="27"/>
      <c r="G116" s="27"/>
      <c r="H116" s="27"/>
      <c r="I116" s="27"/>
    </row>
    <row r="117" spans="1:9" ht="24.75" thickBot="1">
      <c r="A117" s="24" t="s">
        <v>79</v>
      </c>
      <c r="B117" s="25"/>
      <c r="C117" s="30"/>
      <c r="D117" s="25"/>
      <c r="E117" s="30"/>
      <c r="F117" s="25"/>
      <c r="G117" s="26"/>
      <c r="H117" s="25"/>
      <c r="I117" s="26"/>
    </row>
    <row r="118" spans="1:9">
      <c r="A118" s="29"/>
      <c r="B118" s="27"/>
      <c r="C118" s="29" t="s">
        <v>74</v>
      </c>
      <c r="D118" s="27"/>
      <c r="E118" s="29" t="s">
        <v>75</v>
      </c>
      <c r="F118" s="27"/>
      <c r="G118" s="29" t="s">
        <v>76</v>
      </c>
      <c r="H118" s="27"/>
      <c r="I118" s="29" t="s">
        <v>81</v>
      </c>
    </row>
    <row r="119" spans="1:9" ht="18.75">
      <c r="A119" s="7"/>
    </row>
    <row r="120" spans="1:9" ht="18.75">
      <c r="A120" s="7"/>
    </row>
    <row r="121" spans="1:9" ht="18.75">
      <c r="A121" s="7"/>
    </row>
    <row r="122" spans="1:9" ht="18.75">
      <c r="A122" s="7"/>
    </row>
    <row r="123" spans="1:9" ht="18.75">
      <c r="A123" s="7"/>
    </row>
  </sheetData>
  <mergeCells count="23">
    <mergeCell ref="D20:D24"/>
    <mergeCell ref="E20:F22"/>
    <mergeCell ref="G20:G24"/>
    <mergeCell ref="H20:I23"/>
    <mergeCell ref="J20:J22"/>
    <mergeCell ref="E23:E24"/>
    <mergeCell ref="F23:F24"/>
    <mergeCell ref="I28:I29"/>
    <mergeCell ref="J28:J29"/>
    <mergeCell ref="A98:A102"/>
    <mergeCell ref="B98:B102"/>
    <mergeCell ref="D98:D102"/>
    <mergeCell ref="A28:A29"/>
    <mergeCell ref="B28:B29"/>
    <mergeCell ref="C28:C29"/>
    <mergeCell ref="D28:D29"/>
    <mergeCell ref="E28:E29"/>
    <mergeCell ref="F28:F29"/>
    <mergeCell ref="A108:A109"/>
    <mergeCell ref="C108:C109"/>
    <mergeCell ref="D108:D109"/>
    <mergeCell ref="G28:G29"/>
    <mergeCell ref="H28:H29"/>
  </mergeCells>
  <pageMargins left="0.7" right="0.7" top="0.75" bottom="0.75" header="0.3" footer="0.3"/>
  <pageSetup paperSize="9" scale="58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23"/>
  <sheetViews>
    <sheetView topLeftCell="B35" zoomScale="110" zoomScaleNormal="110" workbookViewId="0">
      <selection activeCell="F50" sqref="F50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5.5703125" customWidth="1"/>
    <col min="7" max="7" width="18.85546875" customWidth="1"/>
    <col min="8" max="8" width="23.7109375" customWidth="1"/>
    <col min="9" max="9" width="26.5703125" customWidth="1"/>
    <col min="10" max="10" width="36.28515625" customWidth="1"/>
  </cols>
  <sheetData>
    <row r="1" spans="1:8" ht="23.25">
      <c r="G1" s="77" t="s">
        <v>139</v>
      </c>
    </row>
    <row r="2" spans="1:8" ht="15.75">
      <c r="A2" s="69"/>
      <c r="B2" s="43"/>
      <c r="C2" s="43"/>
      <c r="D2" s="43"/>
      <c r="E2" s="119"/>
      <c r="F2" s="119"/>
      <c r="G2" s="69" t="s">
        <v>0</v>
      </c>
      <c r="H2" s="69"/>
    </row>
    <row r="3" spans="1:8" ht="15.75">
      <c r="A3" s="69"/>
      <c r="B3" s="43"/>
      <c r="C3" s="43"/>
      <c r="D3" s="43"/>
      <c r="E3" s="119"/>
      <c r="F3" s="119"/>
      <c r="G3" s="69" t="s">
        <v>1</v>
      </c>
      <c r="H3" s="69"/>
    </row>
    <row r="4" spans="1:8" ht="15.75">
      <c r="A4" s="69"/>
      <c r="B4" s="43"/>
      <c r="C4" s="43"/>
      <c r="D4" s="43"/>
      <c r="E4" s="119"/>
      <c r="F4" s="119"/>
      <c r="G4" s="69" t="s">
        <v>2</v>
      </c>
      <c r="H4" s="69"/>
    </row>
    <row r="5" spans="1:8" ht="15.75">
      <c r="A5" s="69"/>
      <c r="B5" s="43"/>
      <c r="C5" s="43"/>
      <c r="D5" s="43"/>
      <c r="E5" s="119"/>
      <c r="F5" s="119"/>
      <c r="G5" s="69" t="s">
        <v>3</v>
      </c>
      <c r="H5" s="69"/>
    </row>
    <row r="6" spans="1:8" ht="15.75">
      <c r="A6" s="69"/>
      <c r="B6" s="43"/>
      <c r="C6" s="43"/>
      <c r="D6" s="43"/>
      <c r="E6" s="119"/>
      <c r="F6" s="119"/>
      <c r="G6" s="69" t="s">
        <v>4</v>
      </c>
      <c r="H6" s="69"/>
    </row>
    <row r="7" spans="1:8" ht="15.75">
      <c r="A7" s="69"/>
      <c r="B7" s="43"/>
      <c r="C7" s="43"/>
      <c r="D7" s="43"/>
      <c r="E7" s="119"/>
      <c r="F7" s="119"/>
      <c r="G7" s="69" t="s">
        <v>5</v>
      </c>
      <c r="H7" s="69"/>
    </row>
    <row r="8" spans="1:8" ht="15.75">
      <c r="A8" s="69"/>
      <c r="B8" s="43"/>
      <c r="C8" s="43"/>
      <c r="D8" s="43"/>
      <c r="E8" s="119"/>
      <c r="F8" s="119"/>
      <c r="G8" s="69" t="s">
        <v>6</v>
      </c>
      <c r="H8" s="69"/>
    </row>
    <row r="9" spans="1:8" ht="15.75">
      <c r="A9" s="44"/>
      <c r="B9" s="43"/>
      <c r="C9" s="43"/>
      <c r="D9" s="43"/>
      <c r="E9" s="119"/>
      <c r="F9" s="119"/>
      <c r="G9" s="69" t="s">
        <v>7</v>
      </c>
      <c r="H9" s="44"/>
    </row>
    <row r="10" spans="1:8" ht="15.75">
      <c r="A10" s="69"/>
      <c r="B10" s="43"/>
      <c r="C10" s="43"/>
      <c r="D10" s="43"/>
      <c r="E10" s="119"/>
      <c r="F10" s="119"/>
      <c r="G10" s="69" t="s">
        <v>8</v>
      </c>
      <c r="H10" s="69"/>
    </row>
    <row r="11" spans="1:8" ht="15.75">
      <c r="A11" s="45"/>
      <c r="B11" s="43"/>
      <c r="C11" s="43"/>
      <c r="D11" s="43"/>
      <c r="E11" s="43"/>
      <c r="F11" s="43"/>
      <c r="G11" s="43"/>
      <c r="H11" s="43"/>
    </row>
    <row r="12" spans="1:8" ht="18.75">
      <c r="A12" s="47"/>
      <c r="B12" s="49" t="s">
        <v>101</v>
      </c>
      <c r="C12" s="49"/>
      <c r="D12" s="49"/>
      <c r="E12" s="48"/>
      <c r="F12" s="48"/>
      <c r="G12" s="48"/>
      <c r="H12" s="48"/>
    </row>
    <row r="13" spans="1:8" ht="15.75">
      <c r="A13" s="43"/>
      <c r="B13" s="50" t="s">
        <v>100</v>
      </c>
      <c r="C13" s="51"/>
      <c r="D13" s="51"/>
      <c r="E13" s="51"/>
      <c r="F13" s="43"/>
      <c r="G13" s="43"/>
      <c r="H13" s="43"/>
    </row>
    <row r="14" spans="1:8" ht="15.75">
      <c r="A14" s="45"/>
      <c r="B14" s="43"/>
      <c r="C14" s="43"/>
      <c r="D14" s="43"/>
      <c r="E14" s="43"/>
      <c r="F14" s="43"/>
      <c r="G14" s="43"/>
      <c r="H14" s="43"/>
    </row>
    <row r="15" spans="1:8" ht="18.75">
      <c r="A15" s="46"/>
      <c r="B15" s="51" t="s">
        <v>140</v>
      </c>
      <c r="C15" s="43"/>
      <c r="D15" s="43"/>
      <c r="E15" s="43"/>
      <c r="F15" s="43"/>
      <c r="G15" s="43"/>
      <c r="H15" s="43"/>
    </row>
    <row r="16" spans="1:8" ht="18.75">
      <c r="A16" s="6"/>
    </row>
    <row r="17" spans="1:10" ht="2.25" customHeight="1" thickBot="1">
      <c r="A17" s="4"/>
    </row>
    <row r="18" spans="1:10" ht="16.5" hidden="1" thickBot="1">
      <c r="A18" s="4"/>
    </row>
    <row r="19" spans="1:10" ht="19.5" hidden="1" thickBot="1">
      <c r="A19" s="7"/>
    </row>
    <row r="20" spans="1:10" ht="47.25">
      <c r="A20" s="155" t="s">
        <v>10</v>
      </c>
      <c r="B20" s="158" t="s">
        <v>12</v>
      </c>
      <c r="C20" s="158" t="s">
        <v>14</v>
      </c>
      <c r="D20" s="179" t="s">
        <v>19</v>
      </c>
      <c r="E20" s="182" t="s">
        <v>20</v>
      </c>
      <c r="F20" s="183"/>
      <c r="G20" s="179" t="s">
        <v>21</v>
      </c>
      <c r="H20" s="182" t="s">
        <v>20</v>
      </c>
      <c r="I20" s="183"/>
      <c r="J20" s="188"/>
    </row>
    <row r="21" spans="1:10" ht="31.5">
      <c r="A21" s="156" t="s">
        <v>11</v>
      </c>
      <c r="B21" s="159" t="s">
        <v>13</v>
      </c>
      <c r="C21" s="159" t="s">
        <v>15</v>
      </c>
      <c r="D21" s="180"/>
      <c r="E21" s="184"/>
      <c r="F21" s="185"/>
      <c r="G21" s="180"/>
      <c r="H21" s="184"/>
      <c r="I21" s="185"/>
      <c r="J21" s="188"/>
    </row>
    <row r="22" spans="1:10" ht="48" thickBot="1">
      <c r="A22" s="8"/>
      <c r="B22" s="10"/>
      <c r="C22" s="159" t="s">
        <v>16</v>
      </c>
      <c r="D22" s="180"/>
      <c r="E22" s="186"/>
      <c r="F22" s="187"/>
      <c r="G22" s="180"/>
      <c r="H22" s="184"/>
      <c r="I22" s="185"/>
      <c r="J22" s="188"/>
    </row>
    <row r="23" spans="1:10" ht="48" thickBot="1">
      <c r="A23" s="8"/>
      <c r="B23" s="10"/>
      <c r="C23" s="159" t="s">
        <v>17</v>
      </c>
      <c r="D23" s="180"/>
      <c r="E23" s="179" t="s">
        <v>22</v>
      </c>
      <c r="F23" s="179" t="s">
        <v>23</v>
      </c>
      <c r="G23" s="180"/>
      <c r="H23" s="186"/>
      <c r="I23" s="187"/>
      <c r="J23" s="12"/>
    </row>
    <row r="24" spans="1:10" ht="32.25" thickBot="1">
      <c r="A24" s="9"/>
      <c r="B24" s="11"/>
      <c r="C24" s="160" t="s">
        <v>18</v>
      </c>
      <c r="D24" s="181"/>
      <c r="E24" s="181"/>
      <c r="F24" s="181"/>
      <c r="G24" s="181"/>
      <c r="H24" s="160" t="s">
        <v>22</v>
      </c>
      <c r="I24" s="160" t="s">
        <v>23</v>
      </c>
      <c r="J24" s="12"/>
    </row>
    <row r="25" spans="1:10" ht="16.5" thickBot="1">
      <c r="A25" s="157">
        <v>1</v>
      </c>
      <c r="B25" s="160">
        <v>2</v>
      </c>
      <c r="C25" s="160">
        <v>3</v>
      </c>
      <c r="D25" s="160">
        <v>4</v>
      </c>
      <c r="E25" s="160"/>
      <c r="F25" s="160"/>
      <c r="G25" s="160"/>
      <c r="H25" s="160">
        <v>5</v>
      </c>
      <c r="I25" s="160">
        <v>6</v>
      </c>
      <c r="J25" s="12"/>
    </row>
    <row r="26" spans="1:10" ht="29.25" customHeight="1" thickBot="1">
      <c r="A26" s="162" t="s">
        <v>24</v>
      </c>
      <c r="B26" s="144" t="s">
        <v>105</v>
      </c>
      <c r="C26" s="152" t="s">
        <v>26</v>
      </c>
      <c r="D26" s="152">
        <v>4197132</v>
      </c>
      <c r="E26" s="152">
        <v>3749604</v>
      </c>
      <c r="F26" s="152">
        <v>518823</v>
      </c>
      <c r="G26" s="152">
        <f>H26+I26</f>
        <v>51261124.810000002</v>
      </c>
      <c r="H26" s="152">
        <v>44995247.810000002</v>
      </c>
      <c r="I26" s="152">
        <v>6265877</v>
      </c>
      <c r="J26" s="12"/>
    </row>
    <row r="27" spans="1:10" ht="38.25" customHeight="1" thickBot="1">
      <c r="A27" s="162" t="s">
        <v>27</v>
      </c>
      <c r="B27" s="144" t="s">
        <v>28</v>
      </c>
      <c r="C27" s="152" t="s">
        <v>29</v>
      </c>
      <c r="D27" s="152">
        <f>E27+F27</f>
        <v>3001593.45</v>
      </c>
      <c r="E27" s="152">
        <v>1059802.1399999999</v>
      </c>
      <c r="F27" s="152">
        <v>1941791.31</v>
      </c>
      <c r="G27" s="152">
        <f>H27+I27</f>
        <v>3001593.45</v>
      </c>
      <c r="H27" s="152">
        <v>1059802.1399999999</v>
      </c>
      <c r="I27" s="152">
        <v>1941791.31</v>
      </c>
      <c r="J27" s="12"/>
    </row>
    <row r="28" spans="1:10" ht="27" customHeight="1">
      <c r="A28" s="204" t="s">
        <v>30</v>
      </c>
      <c r="B28" s="204" t="s">
        <v>31</v>
      </c>
      <c r="C28" s="206" t="s">
        <v>32</v>
      </c>
      <c r="D28" s="206">
        <f>E28+F28</f>
        <v>4429300.32</v>
      </c>
      <c r="E28" s="206">
        <v>3911100.32</v>
      </c>
      <c r="F28" s="206">
        <v>518200</v>
      </c>
      <c r="G28" s="206">
        <f>H28+I28</f>
        <v>42758729.82</v>
      </c>
      <c r="H28" s="206">
        <f>29453944.99+3586018.51+3911100.32</f>
        <v>36951063.82</v>
      </c>
      <c r="I28" s="206">
        <f>4769466+520000+518200</f>
        <v>5807666</v>
      </c>
      <c r="J28" s="188"/>
    </row>
    <row r="29" spans="1:10" ht="24" customHeight="1" thickBot="1">
      <c r="A29" s="205"/>
      <c r="B29" s="205"/>
      <c r="C29" s="207"/>
      <c r="D29" s="207"/>
      <c r="E29" s="207"/>
      <c r="F29" s="207"/>
      <c r="G29" s="207"/>
      <c r="H29" s="207"/>
      <c r="I29" s="207"/>
      <c r="J29" s="188"/>
    </row>
    <row r="30" spans="1:10" ht="47.25" customHeight="1" thickBot="1">
      <c r="A30" s="145" t="s">
        <v>33</v>
      </c>
      <c r="B30" s="146" t="s">
        <v>34</v>
      </c>
      <c r="C30" s="154">
        <v>900</v>
      </c>
      <c r="D30" s="154">
        <f>E30+F30</f>
        <v>4146368.13</v>
      </c>
      <c r="E30" s="154">
        <f t="shared" ref="E30:I30" si="0">E32+E37+E44+E47+E48</f>
        <v>3649601.29</v>
      </c>
      <c r="F30" s="154">
        <f t="shared" si="0"/>
        <v>496766.83999999997</v>
      </c>
      <c r="G30" s="154">
        <f t="shared" si="0"/>
        <v>39474204.179999992</v>
      </c>
      <c r="H30" s="154">
        <f t="shared" si="0"/>
        <v>35629762.649999991</v>
      </c>
      <c r="I30" s="154">
        <f t="shared" si="0"/>
        <v>3844441.5300000003</v>
      </c>
      <c r="J30" s="12"/>
    </row>
    <row r="31" spans="1:10" ht="16.5" thickBot="1">
      <c r="A31" s="162"/>
      <c r="B31" s="144" t="s">
        <v>35</v>
      </c>
      <c r="C31" s="144"/>
      <c r="D31" s="144"/>
      <c r="E31" s="144"/>
      <c r="F31" s="144"/>
      <c r="G31" s="144"/>
      <c r="H31" s="144"/>
      <c r="I31" s="144"/>
      <c r="J31" s="12"/>
    </row>
    <row r="32" spans="1:10" ht="32.25" thickBot="1">
      <c r="A32" s="162" t="s">
        <v>36</v>
      </c>
      <c r="B32" s="144" t="s">
        <v>37</v>
      </c>
      <c r="C32" s="144">
        <v>210</v>
      </c>
      <c r="D32" s="147">
        <f>D34+D35+D36</f>
        <v>3575660.9099999997</v>
      </c>
      <c r="E32" s="147">
        <f>E34+E35+E36</f>
        <v>3400266.29</v>
      </c>
      <c r="F32" s="147">
        <f>F34+F35+F36</f>
        <v>175394.62</v>
      </c>
      <c r="G32" s="152">
        <f t="shared" ref="G32:I32" si="1">G34+G35+G36</f>
        <v>36165665.639999993</v>
      </c>
      <c r="H32" s="152">
        <f t="shared" si="1"/>
        <v>34252791.159999996</v>
      </c>
      <c r="I32" s="152">
        <f t="shared" si="1"/>
        <v>1912874.48</v>
      </c>
      <c r="J32" s="12"/>
    </row>
    <row r="33" spans="1:10" ht="16.5" thickBot="1">
      <c r="A33" s="162"/>
      <c r="B33" s="144" t="s">
        <v>38</v>
      </c>
      <c r="C33" s="144"/>
      <c r="D33" s="144"/>
      <c r="E33" s="144"/>
      <c r="F33" s="144"/>
      <c r="G33" s="144"/>
      <c r="H33" s="144"/>
      <c r="I33" s="144"/>
      <c r="J33" s="12"/>
    </row>
    <row r="34" spans="1:10" ht="16.5" thickBot="1">
      <c r="A34" s="162" t="s">
        <v>39</v>
      </c>
      <c r="B34" s="144" t="s">
        <v>40</v>
      </c>
      <c r="C34" s="144">
        <v>211</v>
      </c>
      <c r="D34" s="144">
        <f>E34+F34</f>
        <v>3572920.8</v>
      </c>
      <c r="E34" s="144">
        <v>3400266.29</v>
      </c>
      <c r="F34" s="144">
        <v>172654.51</v>
      </c>
      <c r="G34" s="144">
        <f>H34+I34</f>
        <v>28771325.659999996</v>
      </c>
      <c r="H34" s="144">
        <f>20574628.75+3382801.9+3400266.29</f>
        <v>27357696.939999998</v>
      </c>
      <c r="I34" s="144">
        <f>1070744.17+170230.04+172654.51</f>
        <v>1413628.72</v>
      </c>
      <c r="J34" s="12"/>
    </row>
    <row r="35" spans="1:10" ht="16.5" thickBot="1">
      <c r="A35" s="162" t="s">
        <v>41</v>
      </c>
      <c r="B35" s="144" t="s">
        <v>42</v>
      </c>
      <c r="C35" s="144">
        <v>212</v>
      </c>
      <c r="D35" s="144">
        <f>E35+F35</f>
        <v>2740.11</v>
      </c>
      <c r="E35" s="144"/>
      <c r="F35" s="144">
        <v>2740.11</v>
      </c>
      <c r="G35" s="144">
        <f>H35+I35</f>
        <v>78456.83</v>
      </c>
      <c r="H35" s="144"/>
      <c r="I35" s="144">
        <f>59911.28+15805.44+2740.11</f>
        <v>78456.83</v>
      </c>
      <c r="J35" s="12"/>
    </row>
    <row r="36" spans="1:10" ht="16.5" thickBot="1">
      <c r="A36" s="162" t="s">
        <v>43</v>
      </c>
      <c r="B36" s="144" t="s">
        <v>44</v>
      </c>
      <c r="C36" s="144">
        <v>213</v>
      </c>
      <c r="D36" s="144">
        <f>E36+F36</f>
        <v>0</v>
      </c>
      <c r="E36" s="144"/>
      <c r="F36" s="144"/>
      <c r="G36" s="144">
        <f>H36+I36</f>
        <v>7315883.1499999994</v>
      </c>
      <c r="H36" s="144">
        <f>5287564.05+1607530.17</f>
        <v>6895094.2199999997</v>
      </c>
      <c r="I36" s="144">
        <f>342008.94+78779.99</f>
        <v>420788.93</v>
      </c>
      <c r="J36" s="12"/>
    </row>
    <row r="37" spans="1:10" ht="16.5" thickBot="1">
      <c r="A37" s="162" t="s">
        <v>45</v>
      </c>
      <c r="B37" s="144" t="s">
        <v>46</v>
      </c>
      <c r="C37" s="147">
        <v>220</v>
      </c>
      <c r="D37" s="147">
        <f>E37+F37</f>
        <v>163395.12</v>
      </c>
      <c r="E37" s="147">
        <f>E38+E39+E40+E41+E42+E43</f>
        <v>6090</v>
      </c>
      <c r="F37" s="147">
        <f>F38+F39+F40+F41+F42+F43</f>
        <v>157305.12</v>
      </c>
      <c r="G37" s="147">
        <f>G39+G40+G41+G42+G43</f>
        <v>1525737.29</v>
      </c>
      <c r="H37" s="147">
        <f>H39+H40+H41+H42+H43</f>
        <v>131070.16</v>
      </c>
      <c r="I37" s="147">
        <f>I39+I40+I41+I42+I43</f>
        <v>1394667.13</v>
      </c>
      <c r="J37" s="12"/>
    </row>
    <row r="38" spans="1:10" ht="16.5" thickBot="1">
      <c r="A38" s="162"/>
      <c r="B38" s="144" t="s">
        <v>38</v>
      </c>
      <c r="C38" s="144"/>
      <c r="D38" s="144"/>
      <c r="E38" s="144"/>
      <c r="F38" s="144"/>
      <c r="G38" s="144"/>
      <c r="H38" s="144"/>
      <c r="I38" s="144"/>
      <c r="J38" s="12"/>
    </row>
    <row r="39" spans="1:10" ht="16.5" thickBot="1">
      <c r="A39" s="162" t="s">
        <v>47</v>
      </c>
      <c r="B39" s="144" t="s">
        <v>48</v>
      </c>
      <c r="C39" s="144">
        <v>221</v>
      </c>
      <c r="D39" s="144">
        <f>E39+F39</f>
        <v>17129.39</v>
      </c>
      <c r="E39" s="144"/>
      <c r="F39" s="144">
        <v>17129.39</v>
      </c>
      <c r="G39" s="144">
        <f>H39+I39</f>
        <v>39809.449999999997</v>
      </c>
      <c r="H39" s="144">
        <v>4000</v>
      </c>
      <c r="I39" s="144">
        <f>14853.27+3826.79+17129.39</f>
        <v>35809.449999999997</v>
      </c>
      <c r="J39" s="12"/>
    </row>
    <row r="40" spans="1:10" ht="26.25" customHeight="1" thickBot="1">
      <c r="A40" s="162" t="s">
        <v>49</v>
      </c>
      <c r="B40" s="144" t="s">
        <v>50</v>
      </c>
      <c r="C40" s="144">
        <v>222</v>
      </c>
      <c r="D40" s="144">
        <f t="shared" ref="D40:D43" si="2">E40+F40</f>
        <v>665</v>
      </c>
      <c r="E40" s="144"/>
      <c r="F40" s="144">
        <v>665</v>
      </c>
      <c r="G40" s="144">
        <f>H40+I40</f>
        <v>3431</v>
      </c>
      <c r="H40" s="144"/>
      <c r="I40" s="144">
        <f>1366+1400+665</f>
        <v>3431</v>
      </c>
      <c r="J40" s="12"/>
    </row>
    <row r="41" spans="1:10" ht="29.25" customHeight="1" thickBot="1">
      <c r="A41" s="162" t="s">
        <v>51</v>
      </c>
      <c r="B41" s="144" t="s">
        <v>52</v>
      </c>
      <c r="C41" s="144">
        <v>223</v>
      </c>
      <c r="D41" s="144">
        <f t="shared" si="2"/>
        <v>37518.22</v>
      </c>
      <c r="E41" s="144"/>
      <c r="F41" s="144">
        <v>37518.22</v>
      </c>
      <c r="G41" s="144">
        <f>H41+I41</f>
        <v>349282.47</v>
      </c>
      <c r="H41" s="144"/>
      <c r="I41" s="144">
        <f>282534.81+29229.44+37518.22</f>
        <v>349282.47</v>
      </c>
      <c r="J41" s="12"/>
    </row>
    <row r="42" spans="1:10" ht="20.25" customHeight="1" thickBot="1">
      <c r="A42" s="162" t="s">
        <v>53</v>
      </c>
      <c r="B42" s="144" t="s">
        <v>54</v>
      </c>
      <c r="C42" s="144">
        <v>225</v>
      </c>
      <c r="D42" s="144">
        <f t="shared" si="2"/>
        <v>39633.019999999997</v>
      </c>
      <c r="E42" s="144"/>
      <c r="F42" s="144">
        <v>39633.019999999997</v>
      </c>
      <c r="G42" s="144">
        <f>H42+I42</f>
        <v>517885.09</v>
      </c>
      <c r="H42" s="144"/>
      <c r="I42" s="144">
        <f>433903.9+44348.17+39633.02</f>
        <v>517885.09</v>
      </c>
      <c r="J42" s="12"/>
    </row>
    <row r="43" spans="1:10" ht="30" customHeight="1" thickBot="1">
      <c r="A43" s="162" t="s">
        <v>55</v>
      </c>
      <c r="B43" s="144" t="s">
        <v>56</v>
      </c>
      <c r="C43" s="144">
        <v>226</v>
      </c>
      <c r="D43" s="144">
        <f t="shared" si="2"/>
        <v>68449.489999999991</v>
      </c>
      <c r="E43" s="144">
        <v>6090</v>
      </c>
      <c r="F43" s="144">
        <v>62359.49</v>
      </c>
      <c r="G43" s="144">
        <f>H43+I43</f>
        <v>615329.28000000003</v>
      </c>
      <c r="H43" s="144">
        <f>120980.16+6090</f>
        <v>127070.16</v>
      </c>
      <c r="I43" s="144">
        <f>400669.87+25229.76+62359.49</f>
        <v>488259.12</v>
      </c>
      <c r="J43" s="12"/>
    </row>
    <row r="44" spans="1:10" ht="16.5" thickBot="1">
      <c r="A44" s="162" t="s">
        <v>57</v>
      </c>
      <c r="B44" s="144" t="s">
        <v>58</v>
      </c>
      <c r="C44" s="147">
        <v>260</v>
      </c>
      <c r="D44" s="147">
        <f t="shared" ref="D44:G44" si="3">D46</f>
        <v>0</v>
      </c>
      <c r="E44" s="147"/>
      <c r="F44" s="147"/>
      <c r="G44" s="147">
        <f t="shared" si="3"/>
        <v>0</v>
      </c>
      <c r="H44" s="147"/>
      <c r="I44" s="147"/>
      <c r="J44" s="12"/>
    </row>
    <row r="45" spans="1:10" ht="16.5" thickBot="1">
      <c r="A45" s="162"/>
      <c r="B45" s="144" t="s">
        <v>38</v>
      </c>
      <c r="C45" s="144"/>
      <c r="D45" s="144"/>
      <c r="E45" s="144"/>
      <c r="F45" s="144"/>
      <c r="G45" s="144"/>
      <c r="H45" s="144"/>
      <c r="I45" s="144"/>
      <c r="J45" s="12"/>
    </row>
    <row r="46" spans="1:10" ht="16.5" thickBot="1">
      <c r="A46" s="162" t="s">
        <v>59</v>
      </c>
      <c r="B46" s="144" t="s">
        <v>60</v>
      </c>
      <c r="C46" s="144">
        <v>262</v>
      </c>
      <c r="D46" s="144"/>
      <c r="E46" s="144"/>
      <c r="F46" s="144"/>
      <c r="G46" s="144"/>
      <c r="H46" s="144"/>
      <c r="I46" s="144"/>
      <c r="J46" s="12"/>
    </row>
    <row r="47" spans="1:10" ht="38.25" customHeight="1" thickBot="1">
      <c r="A47" s="162" t="s">
        <v>61</v>
      </c>
      <c r="B47" s="144" t="s">
        <v>62</v>
      </c>
      <c r="C47" s="147">
        <v>290</v>
      </c>
      <c r="D47" s="147">
        <f>E47+F47</f>
        <v>0</v>
      </c>
      <c r="E47" s="147"/>
      <c r="F47" s="147"/>
      <c r="G47" s="147">
        <f>H47+I47</f>
        <v>95885.7</v>
      </c>
      <c r="H47" s="147"/>
      <c r="I47" s="147">
        <f>74102.5+21783.2</f>
        <v>95885.7</v>
      </c>
      <c r="J47" s="12"/>
    </row>
    <row r="48" spans="1:10" ht="33" customHeight="1" thickBot="1">
      <c r="A48" s="162" t="s">
        <v>63</v>
      </c>
      <c r="B48" s="144" t="s">
        <v>64</v>
      </c>
      <c r="C48" s="147">
        <v>300</v>
      </c>
      <c r="D48" s="147">
        <f t="shared" ref="D48:I48" si="4">D50+D51</f>
        <v>407312.1</v>
      </c>
      <c r="E48" s="147">
        <f t="shared" si="4"/>
        <v>243245</v>
      </c>
      <c r="F48" s="147">
        <f>F50+F51</f>
        <v>164067.1</v>
      </c>
      <c r="G48" s="147">
        <f t="shared" si="4"/>
        <v>1686915.55</v>
      </c>
      <c r="H48" s="147">
        <f t="shared" si="4"/>
        <v>1245901.33</v>
      </c>
      <c r="I48" s="147">
        <f t="shared" si="4"/>
        <v>441014.22</v>
      </c>
      <c r="J48" s="12"/>
    </row>
    <row r="49" spans="1:10" ht="16.5" thickBot="1">
      <c r="A49" s="162"/>
      <c r="B49" s="144" t="s">
        <v>38</v>
      </c>
      <c r="C49" s="144"/>
      <c r="D49" s="144"/>
      <c r="E49" s="144"/>
      <c r="F49" s="144"/>
      <c r="G49" s="144"/>
      <c r="H49" s="144"/>
      <c r="I49" s="144"/>
      <c r="J49" s="12"/>
    </row>
    <row r="50" spans="1:10" ht="16.5" thickBot="1">
      <c r="A50" s="162" t="s">
        <v>65</v>
      </c>
      <c r="B50" s="144" t="s">
        <v>66</v>
      </c>
      <c r="C50" s="144">
        <v>310</v>
      </c>
      <c r="D50" s="144">
        <f>E50+F50</f>
        <v>131245</v>
      </c>
      <c r="E50" s="144">
        <v>83245</v>
      </c>
      <c r="F50" s="144">
        <v>48000</v>
      </c>
      <c r="G50" s="144">
        <f>H50+I50</f>
        <v>838635.05</v>
      </c>
      <c r="H50" s="144">
        <f>653267.56+14612.49+83245</f>
        <v>751125.05</v>
      </c>
      <c r="I50" s="144">
        <f>39510+48000</f>
        <v>87510</v>
      </c>
      <c r="J50" s="12"/>
    </row>
    <row r="51" spans="1:10" ht="16.5" thickBot="1">
      <c r="A51" s="162" t="s">
        <v>67</v>
      </c>
      <c r="B51" s="144" t="s">
        <v>68</v>
      </c>
      <c r="C51" s="144">
        <v>340</v>
      </c>
      <c r="D51" s="144">
        <f>E51+F51</f>
        <v>276067.09999999998</v>
      </c>
      <c r="E51" s="144">
        <v>160000</v>
      </c>
      <c r="F51" s="144">
        <v>116067.1</v>
      </c>
      <c r="G51" s="144">
        <f>H51+I51</f>
        <v>848280.5</v>
      </c>
      <c r="H51" s="144">
        <f>334776.28+160000</f>
        <v>494776.28</v>
      </c>
      <c r="I51" s="144">
        <f>231161.12+6276+116067.1</f>
        <v>353504.22</v>
      </c>
      <c r="J51" s="12"/>
    </row>
    <row r="52" spans="1:10" ht="32.25" thickBot="1">
      <c r="A52" s="162" t="s">
        <v>69</v>
      </c>
      <c r="B52" s="144" t="s">
        <v>70</v>
      </c>
      <c r="C52" s="152" t="s">
        <v>26</v>
      </c>
      <c r="D52" s="152">
        <f>G27+D28-D30</f>
        <v>3284525.6400000006</v>
      </c>
      <c r="E52" s="152">
        <f>H27+E28-E30</f>
        <v>1321301.17</v>
      </c>
      <c r="F52" s="152">
        <f>I27+F28-F30</f>
        <v>1963224.4700000002</v>
      </c>
      <c r="G52" s="152">
        <f>G28-G30</f>
        <v>3284525.640000008</v>
      </c>
      <c r="H52" s="152">
        <f>H28-H30</f>
        <v>1321301.1700000092</v>
      </c>
      <c r="I52" s="152">
        <f>I28-I30</f>
        <v>1963224.4699999997</v>
      </c>
      <c r="J52" s="12"/>
    </row>
    <row r="53" spans="1:10" ht="9" customHeight="1">
      <c r="A53" s="23"/>
    </row>
    <row r="54" spans="1:10" ht="27.75" customHeight="1" thickBot="1">
      <c r="A54" s="24" t="s">
        <v>71</v>
      </c>
      <c r="B54" s="25"/>
      <c r="C54" s="26" t="s">
        <v>72</v>
      </c>
      <c r="D54" s="25"/>
      <c r="E54" s="26"/>
      <c r="F54" s="25"/>
      <c r="G54" s="26" t="s">
        <v>73</v>
      </c>
      <c r="H54" s="25"/>
      <c r="I54" s="25"/>
    </row>
    <row r="55" spans="1:10" ht="9.75" customHeight="1">
      <c r="A55" s="27"/>
      <c r="B55" s="27"/>
      <c r="C55" s="28" t="s">
        <v>74</v>
      </c>
      <c r="D55" s="27"/>
      <c r="E55" s="28" t="s">
        <v>75</v>
      </c>
      <c r="F55" s="27"/>
      <c r="G55" s="28" t="s">
        <v>76</v>
      </c>
      <c r="H55" s="29"/>
      <c r="I55" s="29"/>
    </row>
    <row r="56" spans="1:10" ht="24.75" thickBot="1">
      <c r="A56" s="24" t="s">
        <v>77</v>
      </c>
      <c r="B56" s="25"/>
      <c r="C56" s="26"/>
      <c r="D56" s="25"/>
      <c r="E56" s="26" t="s">
        <v>78</v>
      </c>
      <c r="F56" s="25"/>
      <c r="G56" s="25"/>
      <c r="H56" s="25"/>
      <c r="I56" s="25"/>
    </row>
    <row r="57" spans="1:10" ht="8.25" customHeight="1">
      <c r="A57" s="29"/>
      <c r="B57" s="27"/>
      <c r="C57" s="29" t="s">
        <v>75</v>
      </c>
      <c r="D57" s="27"/>
      <c r="E57" s="29" t="s">
        <v>76</v>
      </c>
      <c r="F57" s="27"/>
      <c r="G57" s="27"/>
      <c r="H57" s="27"/>
      <c r="I57" s="27"/>
    </row>
    <row r="58" spans="1:10" ht="24.75" thickBot="1">
      <c r="A58" s="24" t="s">
        <v>79</v>
      </c>
      <c r="B58" s="25"/>
      <c r="C58" s="30" t="s">
        <v>77</v>
      </c>
      <c r="D58" s="25"/>
      <c r="E58" s="30"/>
      <c r="F58" s="25"/>
      <c r="G58" s="26" t="s">
        <v>78</v>
      </c>
      <c r="H58" s="25"/>
      <c r="I58" s="26" t="s">
        <v>80</v>
      </c>
    </row>
    <row r="59" spans="1:10">
      <c r="A59" s="29"/>
      <c r="B59" s="27"/>
      <c r="C59" s="29" t="s">
        <v>74</v>
      </c>
      <c r="D59" s="27"/>
      <c r="E59" s="29" t="s">
        <v>75</v>
      </c>
      <c r="F59" s="27"/>
      <c r="G59" s="29" t="s">
        <v>76</v>
      </c>
      <c r="H59" s="27"/>
      <c r="I59" s="29" t="s">
        <v>81</v>
      </c>
    </row>
    <row r="60" spans="1:10" ht="18.75">
      <c r="A60" s="7"/>
    </row>
    <row r="61" spans="1:10" ht="18.75">
      <c r="A61" s="7"/>
    </row>
    <row r="62" spans="1:10" ht="18.75">
      <c r="A62" s="7"/>
    </row>
    <row r="63" spans="1:10" ht="18.75">
      <c r="A63" s="7"/>
    </row>
    <row r="64" spans="1:10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7" spans="1:1" ht="15.75">
      <c r="A77" s="1"/>
    </row>
    <row r="78" spans="1:1" ht="15.75">
      <c r="A78" s="1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2"/>
    </row>
    <row r="85" spans="1:1" ht="15.75">
      <c r="A85" s="1"/>
    </row>
    <row r="86" spans="1:1" ht="18.75">
      <c r="A86" s="31"/>
    </row>
    <row r="87" spans="1:1" ht="15.75">
      <c r="A87" s="5" t="s">
        <v>84</v>
      </c>
    </row>
    <row r="88" spans="1:1" ht="15.75">
      <c r="A88" s="5" t="s">
        <v>85</v>
      </c>
    </row>
    <row r="89" spans="1:1" ht="15.75">
      <c r="A89" s="5" t="s">
        <v>86</v>
      </c>
    </row>
    <row r="90" spans="1:1" ht="15.75">
      <c r="A90" s="4"/>
    </row>
    <row r="91" spans="1:1" ht="15.75">
      <c r="A91" s="4"/>
    </row>
    <row r="92" spans="1:1" ht="15.75">
      <c r="A92" s="4" t="s">
        <v>9</v>
      </c>
    </row>
    <row r="93" spans="1:1" ht="18.75">
      <c r="A93" s="6"/>
    </row>
    <row r="94" spans="1:1" ht="15.75">
      <c r="A94" s="4" t="s">
        <v>87</v>
      </c>
    </row>
    <row r="95" spans="1:1" ht="15.75">
      <c r="A95" s="4"/>
    </row>
    <row r="96" spans="1:1" ht="18.75">
      <c r="A96" s="7"/>
    </row>
    <row r="97" spans="1:4" ht="16.5" thickBot="1">
      <c r="A97" s="4"/>
    </row>
    <row r="98" spans="1:4" ht="47.25">
      <c r="A98" s="191" t="s">
        <v>88</v>
      </c>
      <c r="B98" s="191" t="s">
        <v>89</v>
      </c>
      <c r="C98" s="32" t="s">
        <v>14</v>
      </c>
      <c r="D98" s="191" t="s">
        <v>92</v>
      </c>
    </row>
    <row r="99" spans="1:4" ht="31.5">
      <c r="A99" s="192"/>
      <c r="B99" s="192"/>
      <c r="C99" s="33" t="s">
        <v>90</v>
      </c>
      <c r="D99" s="192"/>
    </row>
    <row r="100" spans="1:4" ht="47.25">
      <c r="A100" s="192"/>
      <c r="B100" s="192"/>
      <c r="C100" s="33" t="s">
        <v>16</v>
      </c>
      <c r="D100" s="192"/>
    </row>
    <row r="101" spans="1:4" ht="47.25">
      <c r="A101" s="192"/>
      <c r="B101" s="192"/>
      <c r="C101" s="33" t="s">
        <v>17</v>
      </c>
      <c r="D101" s="192"/>
    </row>
    <row r="102" spans="1:4" ht="32.25" thickBot="1">
      <c r="A102" s="193"/>
      <c r="B102" s="193"/>
      <c r="C102" s="34" t="s">
        <v>91</v>
      </c>
      <c r="D102" s="193"/>
    </row>
    <row r="103" spans="1:4" ht="16.5" thickBot="1">
      <c r="A103" s="161">
        <v>1</v>
      </c>
      <c r="B103" s="34">
        <v>2</v>
      </c>
      <c r="C103" s="34">
        <v>3</v>
      </c>
      <c r="D103" s="34">
        <v>4</v>
      </c>
    </row>
    <row r="104" spans="1:4" ht="16.5" thickBot="1">
      <c r="A104" s="161" t="s">
        <v>24</v>
      </c>
      <c r="B104" s="160"/>
      <c r="C104" s="160"/>
      <c r="D104" s="35"/>
    </row>
    <row r="105" spans="1:4" ht="16.5" thickBot="1">
      <c r="A105" s="161" t="s">
        <v>93</v>
      </c>
      <c r="B105" s="160"/>
      <c r="C105" s="160"/>
      <c r="D105" s="35"/>
    </row>
    <row r="106" spans="1:4" ht="16.5" thickBot="1">
      <c r="A106" s="161" t="s">
        <v>94</v>
      </c>
      <c r="B106" s="160"/>
      <c r="C106" s="34"/>
      <c r="D106" s="35"/>
    </row>
    <row r="107" spans="1:4" ht="16.5" thickBot="1">
      <c r="A107" s="161"/>
      <c r="B107" s="160" t="s">
        <v>95</v>
      </c>
      <c r="C107" s="34"/>
      <c r="D107" s="35"/>
    </row>
    <row r="108" spans="1:4" ht="15.75">
      <c r="A108" s="191" t="s">
        <v>96</v>
      </c>
      <c r="B108" s="159" t="s">
        <v>97</v>
      </c>
      <c r="C108" s="191"/>
      <c r="D108" s="194"/>
    </row>
    <row r="109" spans="1:4" ht="16.5" thickBot="1">
      <c r="A109" s="193"/>
      <c r="B109" s="160" t="s">
        <v>98</v>
      </c>
      <c r="C109" s="193"/>
      <c r="D109" s="195"/>
    </row>
    <row r="110" spans="1:4" ht="15.75">
      <c r="A110" s="3"/>
    </row>
    <row r="111" spans="1:4" ht="15.75">
      <c r="A111" s="3"/>
    </row>
    <row r="112" spans="1:4" ht="15.75">
      <c r="A112" s="3"/>
    </row>
    <row r="113" spans="1:9" ht="60.75" thickBot="1">
      <c r="A113" s="37" t="s">
        <v>99</v>
      </c>
      <c r="B113" s="25"/>
      <c r="C113" s="26"/>
      <c r="D113" s="25"/>
      <c r="E113" s="26"/>
      <c r="F113" s="25"/>
      <c r="G113" s="26"/>
      <c r="H113" s="25"/>
      <c r="I113" s="25"/>
    </row>
    <row r="114" spans="1:9">
      <c r="A114" s="27"/>
      <c r="B114" s="27"/>
      <c r="C114" s="28" t="s">
        <v>74</v>
      </c>
      <c r="D114" s="27"/>
      <c r="E114" s="28" t="s">
        <v>75</v>
      </c>
      <c r="F114" s="27"/>
      <c r="G114" s="28" t="s">
        <v>76</v>
      </c>
      <c r="H114" s="29"/>
      <c r="I114" s="29"/>
    </row>
    <row r="115" spans="1:9" ht="24.75" thickBot="1">
      <c r="A115" s="24" t="s">
        <v>77</v>
      </c>
      <c r="B115" s="25"/>
      <c r="C115" s="26"/>
      <c r="D115" s="25"/>
      <c r="E115" s="26"/>
      <c r="F115" s="25"/>
      <c r="G115" s="25"/>
      <c r="H115" s="25"/>
      <c r="I115" s="25"/>
    </row>
    <row r="116" spans="1:9">
      <c r="A116" s="29"/>
      <c r="B116" s="27"/>
      <c r="C116" s="29" t="s">
        <v>75</v>
      </c>
      <c r="D116" s="27"/>
      <c r="E116" s="29" t="s">
        <v>76</v>
      </c>
      <c r="F116" s="27"/>
      <c r="G116" s="27"/>
      <c r="H116" s="27"/>
      <c r="I116" s="27"/>
    </row>
    <row r="117" spans="1:9" ht="24.75" thickBot="1">
      <c r="A117" s="24" t="s">
        <v>79</v>
      </c>
      <c r="B117" s="25"/>
      <c r="C117" s="30"/>
      <c r="D117" s="25"/>
      <c r="E117" s="30"/>
      <c r="F117" s="25"/>
      <c r="G117" s="26"/>
      <c r="H117" s="25"/>
      <c r="I117" s="26"/>
    </row>
    <row r="118" spans="1:9">
      <c r="A118" s="29"/>
      <c r="B118" s="27"/>
      <c r="C118" s="29" t="s">
        <v>74</v>
      </c>
      <c r="D118" s="27"/>
      <c r="E118" s="29" t="s">
        <v>75</v>
      </c>
      <c r="F118" s="27"/>
      <c r="G118" s="29" t="s">
        <v>76</v>
      </c>
      <c r="H118" s="27"/>
      <c r="I118" s="29" t="s">
        <v>81</v>
      </c>
    </row>
    <row r="119" spans="1:9" ht="18.75">
      <c r="A119" s="7"/>
    </row>
    <row r="120" spans="1:9" ht="18.75">
      <c r="A120" s="7"/>
    </row>
    <row r="121" spans="1:9" ht="18.75">
      <c r="A121" s="7"/>
    </row>
    <row r="122" spans="1:9" ht="18.75">
      <c r="A122" s="7"/>
    </row>
    <row r="123" spans="1:9" ht="18.75">
      <c r="A123" s="7"/>
    </row>
  </sheetData>
  <mergeCells count="23">
    <mergeCell ref="D20:D24"/>
    <mergeCell ref="E20:F22"/>
    <mergeCell ref="G20:G24"/>
    <mergeCell ref="H20:I23"/>
    <mergeCell ref="J20:J22"/>
    <mergeCell ref="E23:E24"/>
    <mergeCell ref="F23:F24"/>
    <mergeCell ref="I28:I29"/>
    <mergeCell ref="J28:J29"/>
    <mergeCell ref="A98:A102"/>
    <mergeCell ref="B98:B102"/>
    <mergeCell ref="D98:D102"/>
    <mergeCell ref="A28:A29"/>
    <mergeCell ref="B28:B29"/>
    <mergeCell ref="C28:C29"/>
    <mergeCell ref="D28:D29"/>
    <mergeCell ref="E28:E29"/>
    <mergeCell ref="F28:F29"/>
    <mergeCell ref="A108:A109"/>
    <mergeCell ref="C108:C109"/>
    <mergeCell ref="D108:D109"/>
    <mergeCell ref="G28:G29"/>
    <mergeCell ref="H28:H29"/>
  </mergeCells>
  <pageMargins left="0.7" right="0.7" top="0.75" bottom="0.75" header="0.3" footer="0.3"/>
  <pageSetup paperSize="9" scale="58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23"/>
  <sheetViews>
    <sheetView topLeftCell="B38" zoomScale="110" zoomScaleNormal="110" workbookViewId="0">
      <selection activeCell="B64" sqref="B64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5.5703125" customWidth="1"/>
    <col min="7" max="7" width="18.85546875" customWidth="1"/>
    <col min="8" max="8" width="23.7109375" customWidth="1"/>
    <col min="9" max="9" width="26.5703125" customWidth="1"/>
    <col min="10" max="10" width="36.28515625" customWidth="1"/>
  </cols>
  <sheetData>
    <row r="1" spans="1:8" ht="23.25">
      <c r="G1" s="77" t="s">
        <v>142</v>
      </c>
    </row>
    <row r="2" spans="1:8" ht="15.75">
      <c r="A2" s="69"/>
      <c r="B2" s="43"/>
      <c r="C2" s="43"/>
      <c r="D2" s="43"/>
      <c r="E2" s="119"/>
      <c r="F2" s="119"/>
      <c r="G2" s="69" t="s">
        <v>0</v>
      </c>
      <c r="H2" s="69"/>
    </row>
    <row r="3" spans="1:8" ht="15.75">
      <c r="A3" s="69"/>
      <c r="B3" s="43"/>
      <c r="C3" s="43"/>
      <c r="D3" s="43"/>
      <c r="E3" s="119"/>
      <c r="F3" s="119"/>
      <c r="G3" s="69" t="s">
        <v>1</v>
      </c>
      <c r="H3" s="69"/>
    </row>
    <row r="4" spans="1:8" ht="15.75">
      <c r="A4" s="69"/>
      <c r="B4" s="43"/>
      <c r="C4" s="43"/>
      <c r="D4" s="43"/>
      <c r="E4" s="119"/>
      <c r="F4" s="119"/>
      <c r="G4" s="69" t="s">
        <v>2</v>
      </c>
      <c r="H4" s="69"/>
    </row>
    <row r="5" spans="1:8" ht="15.75">
      <c r="A5" s="69"/>
      <c r="B5" s="43"/>
      <c r="C5" s="43"/>
      <c r="D5" s="43"/>
      <c r="E5" s="119"/>
      <c r="F5" s="119"/>
      <c r="G5" s="69" t="s">
        <v>3</v>
      </c>
      <c r="H5" s="69"/>
    </row>
    <row r="6" spans="1:8" ht="15.75">
      <c r="A6" s="69"/>
      <c r="B6" s="43"/>
      <c r="C6" s="43"/>
      <c r="D6" s="43"/>
      <c r="E6" s="119"/>
      <c r="F6" s="119"/>
      <c r="G6" s="69" t="s">
        <v>4</v>
      </c>
      <c r="H6" s="69"/>
    </row>
    <row r="7" spans="1:8" ht="15.75">
      <c r="A7" s="69"/>
      <c r="B7" s="43"/>
      <c r="C7" s="43"/>
      <c r="D7" s="43"/>
      <c r="E7" s="119"/>
      <c r="F7" s="119"/>
      <c r="G7" s="69" t="s">
        <v>5</v>
      </c>
      <c r="H7" s="69"/>
    </row>
    <row r="8" spans="1:8" ht="15.75">
      <c r="A8" s="69"/>
      <c r="B8" s="43"/>
      <c r="C8" s="43"/>
      <c r="D8" s="43"/>
      <c r="E8" s="119"/>
      <c r="F8" s="119"/>
      <c r="G8" s="69" t="s">
        <v>6</v>
      </c>
      <c r="H8" s="69"/>
    </row>
    <row r="9" spans="1:8" ht="15.75">
      <c r="A9" s="44"/>
      <c r="B9" s="43"/>
      <c r="C9" s="43"/>
      <c r="D9" s="43"/>
      <c r="E9" s="119"/>
      <c r="F9" s="119"/>
      <c r="G9" s="69" t="s">
        <v>7</v>
      </c>
      <c r="H9" s="44"/>
    </row>
    <row r="10" spans="1:8" ht="15.75">
      <c r="A10" s="69"/>
      <c r="B10" s="43"/>
      <c r="C10" s="43"/>
      <c r="D10" s="43"/>
      <c r="E10" s="119"/>
      <c r="F10" s="119"/>
      <c r="G10" s="69" t="s">
        <v>8</v>
      </c>
      <c r="H10" s="69"/>
    </row>
    <row r="11" spans="1:8" ht="15.75">
      <c r="A11" s="45"/>
      <c r="B11" s="43"/>
      <c r="C11" s="43"/>
      <c r="D11" s="43"/>
      <c r="E11" s="43"/>
      <c r="F11" s="43"/>
      <c r="G11" s="43"/>
      <c r="H11" s="43"/>
    </row>
    <row r="12" spans="1:8" ht="18.75">
      <c r="A12" s="47"/>
      <c r="B12" s="49" t="s">
        <v>101</v>
      </c>
      <c r="C12" s="49"/>
      <c r="D12" s="49"/>
      <c r="E12" s="48"/>
      <c r="F12" s="48"/>
      <c r="G12" s="48"/>
      <c r="H12" s="48"/>
    </row>
    <row r="13" spans="1:8" ht="15.75">
      <c r="A13" s="43"/>
      <c r="B13" s="208" t="s">
        <v>100</v>
      </c>
      <c r="C13" s="208"/>
      <c r="D13" s="208"/>
      <c r="E13" s="208"/>
      <c r="F13" s="43"/>
      <c r="G13" s="43"/>
      <c r="H13" s="43"/>
    </row>
    <row r="14" spans="1:8" ht="15.75">
      <c r="A14" s="45"/>
      <c r="B14" s="43"/>
      <c r="C14" s="43"/>
      <c r="D14" s="43"/>
      <c r="E14" s="43"/>
      <c r="F14" s="43"/>
      <c r="G14" s="43"/>
      <c r="H14" s="43"/>
    </row>
    <row r="15" spans="1:8" ht="23.25">
      <c r="A15" s="46"/>
      <c r="B15" s="209" t="s">
        <v>143</v>
      </c>
      <c r="C15" s="209"/>
      <c r="D15" s="209"/>
      <c r="E15" s="209"/>
      <c r="F15" s="43"/>
      <c r="G15" s="43"/>
      <c r="H15" s="43"/>
    </row>
    <row r="16" spans="1:8" ht="18.75">
      <c r="A16" s="6"/>
    </row>
    <row r="17" spans="1:10" ht="2.25" customHeight="1" thickBot="1">
      <c r="A17" s="4"/>
    </row>
    <row r="18" spans="1:10" ht="16.5" hidden="1" thickBot="1">
      <c r="A18" s="4"/>
    </row>
    <row r="19" spans="1:10" ht="19.5" hidden="1" thickBot="1">
      <c r="A19" s="7"/>
    </row>
    <row r="20" spans="1:10" ht="47.25">
      <c r="A20" s="170" t="s">
        <v>10</v>
      </c>
      <c r="B20" s="173" t="s">
        <v>12</v>
      </c>
      <c r="C20" s="173" t="s">
        <v>14</v>
      </c>
      <c r="D20" s="179" t="s">
        <v>19</v>
      </c>
      <c r="E20" s="182" t="s">
        <v>20</v>
      </c>
      <c r="F20" s="183"/>
      <c r="G20" s="179" t="s">
        <v>21</v>
      </c>
      <c r="H20" s="182" t="s">
        <v>20</v>
      </c>
      <c r="I20" s="183"/>
      <c r="J20" s="188"/>
    </row>
    <row r="21" spans="1:10" ht="31.5">
      <c r="A21" s="171" t="s">
        <v>11</v>
      </c>
      <c r="B21" s="174" t="s">
        <v>13</v>
      </c>
      <c r="C21" s="174" t="s">
        <v>15</v>
      </c>
      <c r="D21" s="180"/>
      <c r="E21" s="184"/>
      <c r="F21" s="185"/>
      <c r="G21" s="180"/>
      <c r="H21" s="184"/>
      <c r="I21" s="185"/>
      <c r="J21" s="188"/>
    </row>
    <row r="22" spans="1:10" ht="48" thickBot="1">
      <c r="A22" s="8"/>
      <c r="B22" s="10"/>
      <c r="C22" s="174" t="s">
        <v>16</v>
      </c>
      <c r="D22" s="180"/>
      <c r="E22" s="186"/>
      <c r="F22" s="187"/>
      <c r="G22" s="180"/>
      <c r="H22" s="184"/>
      <c r="I22" s="185"/>
      <c r="J22" s="188"/>
    </row>
    <row r="23" spans="1:10" ht="48" thickBot="1">
      <c r="A23" s="8"/>
      <c r="B23" s="10"/>
      <c r="C23" s="174" t="s">
        <v>17</v>
      </c>
      <c r="D23" s="180"/>
      <c r="E23" s="179" t="s">
        <v>22</v>
      </c>
      <c r="F23" s="179" t="s">
        <v>23</v>
      </c>
      <c r="G23" s="180"/>
      <c r="H23" s="186"/>
      <c r="I23" s="187"/>
      <c r="J23" s="12"/>
    </row>
    <row r="24" spans="1:10" ht="32.25" thickBot="1">
      <c r="A24" s="9"/>
      <c r="B24" s="11"/>
      <c r="C24" s="175" t="s">
        <v>18</v>
      </c>
      <c r="D24" s="181"/>
      <c r="E24" s="181"/>
      <c r="F24" s="181"/>
      <c r="G24" s="181"/>
      <c r="H24" s="175" t="s">
        <v>22</v>
      </c>
      <c r="I24" s="175" t="s">
        <v>23</v>
      </c>
      <c r="J24" s="12"/>
    </row>
    <row r="25" spans="1:10" ht="16.5" thickBot="1">
      <c r="A25" s="172">
        <v>1</v>
      </c>
      <c r="B25" s="175">
        <v>2</v>
      </c>
      <c r="C25" s="175">
        <v>3</v>
      </c>
      <c r="D25" s="175">
        <v>4</v>
      </c>
      <c r="E25" s="175"/>
      <c r="F25" s="175"/>
      <c r="G25" s="175"/>
      <c r="H25" s="175">
        <v>5</v>
      </c>
      <c r="I25" s="175">
        <v>6</v>
      </c>
      <c r="J25" s="12"/>
    </row>
    <row r="26" spans="1:10" ht="29.25" customHeight="1" thickBot="1">
      <c r="A26" s="177" t="s">
        <v>24</v>
      </c>
      <c r="B26" s="144" t="s">
        <v>105</v>
      </c>
      <c r="C26" s="152" t="s">
        <v>26</v>
      </c>
      <c r="D26" s="152"/>
      <c r="E26" s="152"/>
      <c r="F26" s="152"/>
      <c r="G26" s="152">
        <f>H26+I26</f>
        <v>49470795.68</v>
      </c>
      <c r="H26" s="152">
        <v>43204918.68</v>
      </c>
      <c r="I26" s="152">
        <v>6265877</v>
      </c>
      <c r="J26" s="12"/>
    </row>
    <row r="27" spans="1:10" ht="38.25" customHeight="1" thickBot="1">
      <c r="A27" s="177" t="s">
        <v>27</v>
      </c>
      <c r="B27" s="144" t="s">
        <v>28</v>
      </c>
      <c r="C27" s="152" t="s">
        <v>29</v>
      </c>
      <c r="D27" s="152">
        <f>E27+F27</f>
        <v>3284525.6399999997</v>
      </c>
      <c r="E27" s="152">
        <v>1321301.17</v>
      </c>
      <c r="F27" s="152">
        <v>1963224.47</v>
      </c>
      <c r="G27" s="152">
        <f>H27+I27</f>
        <v>3284525.6399999997</v>
      </c>
      <c r="H27" s="152">
        <v>1321301.17</v>
      </c>
      <c r="I27" s="152">
        <v>1963224.47</v>
      </c>
      <c r="J27" s="12"/>
    </row>
    <row r="28" spans="1:10" ht="27" customHeight="1">
      <c r="A28" s="204" t="s">
        <v>30</v>
      </c>
      <c r="B28" s="204" t="s">
        <v>31</v>
      </c>
      <c r="C28" s="206" t="s">
        <v>32</v>
      </c>
      <c r="D28" s="206">
        <f>E28+F28</f>
        <v>6712065.8600000003</v>
      </c>
      <c r="E28" s="206">
        <f>5426580.81+7192.69+38267.16+52000+280489+450000-674.8</f>
        <v>6253854.8600000003</v>
      </c>
      <c r="F28" s="206">
        <v>458211</v>
      </c>
      <c r="G28" s="206">
        <f>H28+I28</f>
        <v>49470795.68</v>
      </c>
      <c r="H28" s="206">
        <f>29453944.99+3586018.51+3911100.32+6253854.86</f>
        <v>43204918.68</v>
      </c>
      <c r="I28" s="206">
        <f>4769466+520000+518200+458211</f>
        <v>6265877</v>
      </c>
      <c r="J28" s="188"/>
    </row>
    <row r="29" spans="1:10" ht="24" customHeight="1" thickBot="1">
      <c r="A29" s="205"/>
      <c r="B29" s="205"/>
      <c r="C29" s="207"/>
      <c r="D29" s="207"/>
      <c r="E29" s="207"/>
      <c r="F29" s="207"/>
      <c r="G29" s="207"/>
      <c r="H29" s="207"/>
      <c r="I29" s="207"/>
      <c r="J29" s="188"/>
    </row>
    <row r="30" spans="1:10" ht="47.25" customHeight="1" thickBot="1">
      <c r="A30" s="145" t="s">
        <v>33</v>
      </c>
      <c r="B30" s="146" t="s">
        <v>34</v>
      </c>
      <c r="C30" s="154">
        <v>900</v>
      </c>
      <c r="D30" s="154">
        <f>E30+F30</f>
        <v>9996591.5</v>
      </c>
      <c r="E30" s="154">
        <f t="shared" ref="E30:I30" si="0">E32+E37+E44+E47+E48</f>
        <v>7575156.0300000003</v>
      </c>
      <c r="F30" s="154">
        <f t="shared" si="0"/>
        <v>2421435.4700000002</v>
      </c>
      <c r="G30" s="154">
        <f t="shared" si="0"/>
        <v>49470795.68</v>
      </c>
      <c r="H30" s="154">
        <f t="shared" si="0"/>
        <v>43204918.68</v>
      </c>
      <c r="I30" s="154">
        <f t="shared" si="0"/>
        <v>6265877</v>
      </c>
      <c r="J30" s="12"/>
    </row>
    <row r="31" spans="1:10" ht="16.5" thickBot="1">
      <c r="A31" s="177"/>
      <c r="B31" s="144" t="s">
        <v>35</v>
      </c>
      <c r="C31" s="144"/>
      <c r="D31" s="144"/>
      <c r="E31" s="144"/>
      <c r="F31" s="144"/>
      <c r="G31" s="144"/>
      <c r="H31" s="144"/>
      <c r="I31" s="144"/>
      <c r="J31" s="12"/>
    </row>
    <row r="32" spans="1:10" ht="32.25" thickBot="1">
      <c r="A32" s="177" t="s">
        <v>36</v>
      </c>
      <c r="B32" s="144" t="s">
        <v>37</v>
      </c>
      <c r="C32" s="144">
        <v>210</v>
      </c>
      <c r="D32" s="147">
        <f>D34+D35+D36</f>
        <v>7052035.7800000003</v>
      </c>
      <c r="E32" s="147">
        <f>E34+E35+E36</f>
        <v>6767283.0099999998</v>
      </c>
      <c r="F32" s="147">
        <f>F34+F35+F36</f>
        <v>284752.77</v>
      </c>
      <c r="G32" s="152">
        <f t="shared" ref="G32:I32" si="1">G34+G35+G36</f>
        <v>43217701.419999994</v>
      </c>
      <c r="H32" s="152">
        <f t="shared" si="1"/>
        <v>41020074.170000002</v>
      </c>
      <c r="I32" s="152">
        <f t="shared" si="1"/>
        <v>2197627.25</v>
      </c>
      <c r="J32" s="12"/>
    </row>
    <row r="33" spans="1:10" ht="16.5" thickBot="1">
      <c r="A33" s="177"/>
      <c r="B33" s="144" t="s">
        <v>38</v>
      </c>
      <c r="C33" s="144"/>
      <c r="D33" s="144"/>
      <c r="E33" s="144"/>
      <c r="F33" s="144"/>
      <c r="G33" s="144"/>
      <c r="H33" s="144"/>
      <c r="I33" s="144"/>
      <c r="J33" s="12"/>
    </row>
    <row r="34" spans="1:10" ht="16.5" thickBot="1">
      <c r="A34" s="177" t="s">
        <v>39</v>
      </c>
      <c r="B34" s="144" t="s">
        <v>40</v>
      </c>
      <c r="C34" s="144">
        <v>211</v>
      </c>
      <c r="D34" s="144">
        <f>E34+F34</f>
        <v>4596756.2</v>
      </c>
      <c r="E34" s="144">
        <v>4433093.42</v>
      </c>
      <c r="F34" s="144">
        <v>163662.78</v>
      </c>
      <c r="G34" s="144">
        <f>H34+I34</f>
        <v>33368081.859999999</v>
      </c>
      <c r="H34" s="144">
        <f>20574628.75+3382801.9+3400266.29+4433093.42</f>
        <v>31790790.359999999</v>
      </c>
      <c r="I34" s="144">
        <f>1070744.17+170230.04+172654.51+163662.78</f>
        <v>1577291.5</v>
      </c>
      <c r="J34" s="12"/>
    </row>
    <row r="35" spans="1:10" ht="16.5" thickBot="1">
      <c r="A35" s="177" t="s">
        <v>41</v>
      </c>
      <c r="B35" s="144" t="s">
        <v>42</v>
      </c>
      <c r="C35" s="144">
        <v>212</v>
      </c>
      <c r="D35" s="144">
        <f>E35+F35</f>
        <v>-11069.25</v>
      </c>
      <c r="E35" s="144">
        <v>7490.75</v>
      </c>
      <c r="F35" s="144">
        <v>-18560</v>
      </c>
      <c r="G35" s="144">
        <f>H35+I35</f>
        <v>67387.58</v>
      </c>
      <c r="H35" s="144">
        <v>7490.75</v>
      </c>
      <c r="I35" s="144">
        <f>59911.28+15805.44+2740.11-18560</f>
        <v>59896.83</v>
      </c>
      <c r="J35" s="12"/>
    </row>
    <row r="36" spans="1:10" ht="16.5" thickBot="1">
      <c r="A36" s="177" t="s">
        <v>43</v>
      </c>
      <c r="B36" s="144" t="s">
        <v>44</v>
      </c>
      <c r="C36" s="144">
        <v>213</v>
      </c>
      <c r="D36" s="144">
        <f>E36+F36</f>
        <v>2466348.83</v>
      </c>
      <c r="E36" s="144">
        <v>2326698.84</v>
      </c>
      <c r="F36" s="144">
        <v>139649.99</v>
      </c>
      <c r="G36" s="144">
        <f>H36+I36</f>
        <v>9782231.9799999986</v>
      </c>
      <c r="H36" s="144">
        <f>5287564.05+1607530.17+2326698.84</f>
        <v>9221793.0599999987</v>
      </c>
      <c r="I36" s="144">
        <f>342008.94+78779.99+139649.99</f>
        <v>560438.91999999993</v>
      </c>
      <c r="J36" s="12"/>
    </row>
    <row r="37" spans="1:10" ht="16.5" thickBot="1">
      <c r="A37" s="177" t="s">
        <v>45</v>
      </c>
      <c r="B37" s="144" t="s">
        <v>46</v>
      </c>
      <c r="C37" s="147">
        <v>220</v>
      </c>
      <c r="D37" s="147">
        <f>E37+F37</f>
        <v>1770443.87</v>
      </c>
      <c r="E37" s="147">
        <f>E38+E39+E40+E41+E42+E43</f>
        <v>450000</v>
      </c>
      <c r="F37" s="147">
        <f>F38+F39+F40+F41+F42+F43</f>
        <v>1320443.8700000001</v>
      </c>
      <c r="G37" s="147">
        <f>G39+G40+G41+G42+G43</f>
        <v>3296181.16</v>
      </c>
      <c r="H37" s="147">
        <f>H39+H40+H41+H42+H43</f>
        <v>581070.16</v>
      </c>
      <c r="I37" s="147">
        <f>I39+I40+I41+I42+I43</f>
        <v>2715111</v>
      </c>
      <c r="J37" s="12"/>
    </row>
    <row r="38" spans="1:10" ht="16.5" thickBot="1">
      <c r="A38" s="177"/>
      <c r="B38" s="144" t="s">
        <v>38</v>
      </c>
      <c r="C38" s="144"/>
      <c r="D38" s="144"/>
      <c r="E38" s="144"/>
      <c r="F38" s="144"/>
      <c r="G38" s="144"/>
      <c r="H38" s="144"/>
      <c r="I38" s="144"/>
      <c r="J38" s="12"/>
    </row>
    <row r="39" spans="1:10" ht="16.5" thickBot="1">
      <c r="A39" s="177" t="s">
        <v>47</v>
      </c>
      <c r="B39" s="144" t="s">
        <v>48</v>
      </c>
      <c r="C39" s="144">
        <v>221</v>
      </c>
      <c r="D39" s="144">
        <f>E39+F39</f>
        <v>10886.39</v>
      </c>
      <c r="E39" s="144"/>
      <c r="F39" s="144">
        <v>10886.39</v>
      </c>
      <c r="G39" s="144">
        <f>H39+I39</f>
        <v>50695.839999999997</v>
      </c>
      <c r="H39" s="144">
        <v>4000</v>
      </c>
      <c r="I39" s="144">
        <f>14853.27+3826.79+17129.39+10886.39</f>
        <v>46695.839999999997</v>
      </c>
      <c r="J39" s="12"/>
    </row>
    <row r="40" spans="1:10" ht="26.25" customHeight="1" thickBot="1">
      <c r="A40" s="177" t="s">
        <v>49</v>
      </c>
      <c r="B40" s="144" t="s">
        <v>50</v>
      </c>
      <c r="C40" s="144">
        <v>222</v>
      </c>
      <c r="D40" s="144">
        <f t="shared" ref="D40:D43" si="2">E40+F40</f>
        <v>1225</v>
      </c>
      <c r="E40" s="144"/>
      <c r="F40" s="144">
        <v>1225</v>
      </c>
      <c r="G40" s="144">
        <f>H40+I40</f>
        <v>4656</v>
      </c>
      <c r="H40" s="144"/>
      <c r="I40" s="144">
        <f>1366+1400+665+1225</f>
        <v>4656</v>
      </c>
      <c r="J40" s="12"/>
    </row>
    <row r="41" spans="1:10" ht="29.25" customHeight="1" thickBot="1">
      <c r="A41" s="177" t="s">
        <v>51</v>
      </c>
      <c r="B41" s="144" t="s">
        <v>52</v>
      </c>
      <c r="C41" s="144">
        <v>223</v>
      </c>
      <c r="D41" s="144">
        <f t="shared" si="2"/>
        <v>874821.81</v>
      </c>
      <c r="E41" s="144"/>
      <c r="F41" s="144">
        <v>874821.81</v>
      </c>
      <c r="G41" s="144">
        <f>H41+I41</f>
        <v>1224104.28</v>
      </c>
      <c r="H41" s="144"/>
      <c r="I41" s="144">
        <f>282534.81+29229.44+37518.22+874821.81</f>
        <v>1224104.28</v>
      </c>
      <c r="J41" s="12"/>
    </row>
    <row r="42" spans="1:10" ht="20.25" customHeight="1" thickBot="1">
      <c r="A42" s="177" t="s">
        <v>53</v>
      </c>
      <c r="B42" s="144" t="s">
        <v>54</v>
      </c>
      <c r="C42" s="144">
        <v>225</v>
      </c>
      <c r="D42" s="144">
        <f t="shared" si="2"/>
        <v>560239.04</v>
      </c>
      <c r="E42" s="144">
        <v>450000</v>
      </c>
      <c r="F42" s="144">
        <v>110239.03999999999</v>
      </c>
      <c r="G42" s="144">
        <f>H42+I42</f>
        <v>1078124.1299999999</v>
      </c>
      <c r="H42" s="144">
        <v>450000</v>
      </c>
      <c r="I42" s="144">
        <f>433903.9+44348.17+39633.02+110239.04</f>
        <v>628124.13</v>
      </c>
      <c r="J42" s="12"/>
    </row>
    <row r="43" spans="1:10" ht="30" customHeight="1" thickBot="1">
      <c r="A43" s="177" t="s">
        <v>55</v>
      </c>
      <c r="B43" s="144" t="s">
        <v>56</v>
      </c>
      <c r="C43" s="144">
        <v>226</v>
      </c>
      <c r="D43" s="144">
        <f t="shared" si="2"/>
        <v>323271.63</v>
      </c>
      <c r="E43" s="144"/>
      <c r="F43" s="144">
        <v>323271.63</v>
      </c>
      <c r="G43" s="144">
        <f>H43+I43</f>
        <v>938600.91</v>
      </c>
      <c r="H43" s="144">
        <f>120980.16+6090</f>
        <v>127070.16</v>
      </c>
      <c r="I43" s="144">
        <f>400669.87+25229.76+62359.49+323271.63</f>
        <v>811530.75</v>
      </c>
      <c r="J43" s="12"/>
    </row>
    <row r="44" spans="1:10" ht="16.5" thickBot="1">
      <c r="A44" s="177" t="s">
        <v>57</v>
      </c>
      <c r="B44" s="144" t="s">
        <v>58</v>
      </c>
      <c r="C44" s="147">
        <v>260</v>
      </c>
      <c r="D44" s="147">
        <f t="shared" ref="D44:G44" si="3">D46</f>
        <v>6834.45</v>
      </c>
      <c r="E44" s="147">
        <f>E46</f>
        <v>6834.45</v>
      </c>
      <c r="F44" s="147"/>
      <c r="G44" s="147">
        <f t="shared" si="3"/>
        <v>6834.45</v>
      </c>
      <c r="H44" s="147">
        <f>H46</f>
        <v>6834.45</v>
      </c>
      <c r="I44" s="147"/>
      <c r="J44" s="12"/>
    </row>
    <row r="45" spans="1:10" ht="16.5" thickBot="1">
      <c r="A45" s="177"/>
      <c r="B45" s="144" t="s">
        <v>38</v>
      </c>
      <c r="C45" s="144"/>
      <c r="D45" s="144"/>
      <c r="E45" s="144"/>
      <c r="F45" s="144"/>
      <c r="G45" s="144"/>
      <c r="H45" s="144"/>
      <c r="I45" s="144"/>
      <c r="J45" s="12"/>
    </row>
    <row r="46" spans="1:10" ht="16.5" thickBot="1">
      <c r="A46" s="177" t="s">
        <v>59</v>
      </c>
      <c r="B46" s="144" t="s">
        <v>60</v>
      </c>
      <c r="C46" s="144">
        <v>262</v>
      </c>
      <c r="D46" s="144">
        <f>E46</f>
        <v>6834.45</v>
      </c>
      <c r="E46" s="144">
        <v>6834.45</v>
      </c>
      <c r="F46" s="144"/>
      <c r="G46" s="144">
        <f>H46+I46</f>
        <v>6834.45</v>
      </c>
      <c r="H46" s="144">
        <v>6834.45</v>
      </c>
      <c r="I46" s="144"/>
      <c r="J46" s="12"/>
    </row>
    <row r="47" spans="1:10" ht="38.25" customHeight="1" thickBot="1">
      <c r="A47" s="177" t="s">
        <v>61</v>
      </c>
      <c r="B47" s="144" t="s">
        <v>62</v>
      </c>
      <c r="C47" s="147">
        <v>290</v>
      </c>
      <c r="D47" s="147">
        <f>E47+F47</f>
        <v>53.09</v>
      </c>
      <c r="E47" s="147"/>
      <c r="F47" s="147">
        <v>53.09</v>
      </c>
      <c r="G47" s="147">
        <f>H47+I47</f>
        <v>95938.79</v>
      </c>
      <c r="H47" s="147"/>
      <c r="I47" s="147">
        <f>74102.5+21783.2+53.09</f>
        <v>95938.79</v>
      </c>
      <c r="J47" s="12"/>
    </row>
    <row r="48" spans="1:10" ht="33" customHeight="1" thickBot="1">
      <c r="A48" s="177" t="s">
        <v>63</v>
      </c>
      <c r="B48" s="144" t="s">
        <v>64</v>
      </c>
      <c r="C48" s="147">
        <v>300</v>
      </c>
      <c r="D48" s="147">
        <f t="shared" ref="D48:I48" si="4">D50+D51</f>
        <v>1167224.31</v>
      </c>
      <c r="E48" s="147">
        <f t="shared" si="4"/>
        <v>351038.57</v>
      </c>
      <c r="F48" s="147">
        <f>F50+F51</f>
        <v>816185.74</v>
      </c>
      <c r="G48" s="147">
        <f t="shared" si="4"/>
        <v>2854139.8600000003</v>
      </c>
      <c r="H48" s="147">
        <f t="shared" si="4"/>
        <v>1596939.9000000001</v>
      </c>
      <c r="I48" s="147">
        <f t="shared" si="4"/>
        <v>1257199.96</v>
      </c>
      <c r="J48" s="12"/>
    </row>
    <row r="49" spans="1:10" ht="16.5" thickBot="1">
      <c r="A49" s="177"/>
      <c r="B49" s="144" t="s">
        <v>38</v>
      </c>
      <c r="C49" s="144"/>
      <c r="D49" s="144"/>
      <c r="E49" s="144"/>
      <c r="F49" s="144"/>
      <c r="G49" s="144"/>
      <c r="H49" s="144"/>
      <c r="I49" s="144"/>
      <c r="J49" s="12"/>
    </row>
    <row r="50" spans="1:10" ht="16.5" thickBot="1">
      <c r="A50" s="177" t="s">
        <v>65</v>
      </c>
      <c r="B50" s="144" t="s">
        <v>66</v>
      </c>
      <c r="C50" s="144">
        <v>310</v>
      </c>
      <c r="D50" s="144">
        <f>E50+F50</f>
        <v>479434</v>
      </c>
      <c r="E50" s="144">
        <v>197244</v>
      </c>
      <c r="F50" s="144">
        <v>282190</v>
      </c>
      <c r="G50" s="144">
        <f>H50+I50</f>
        <v>1318069.05</v>
      </c>
      <c r="H50" s="144">
        <f>653267.56+14612.49+83245+197244</f>
        <v>948369.05</v>
      </c>
      <c r="I50" s="144">
        <f>39510+48000+282190</f>
        <v>369700</v>
      </c>
      <c r="J50" s="12"/>
    </row>
    <row r="51" spans="1:10" ht="16.5" thickBot="1">
      <c r="A51" s="177" t="s">
        <v>67</v>
      </c>
      <c r="B51" s="144" t="s">
        <v>68</v>
      </c>
      <c r="C51" s="144">
        <v>340</v>
      </c>
      <c r="D51" s="144">
        <f>E51+F51</f>
        <v>687790.31</v>
      </c>
      <c r="E51" s="144">
        <v>153794.57</v>
      </c>
      <c r="F51" s="144">
        <f>533913.49+82.25</f>
        <v>533995.74</v>
      </c>
      <c r="G51" s="144">
        <f>H51+I51</f>
        <v>1536070.81</v>
      </c>
      <c r="H51" s="144">
        <f>334776.28+160000+153794.57</f>
        <v>648570.85000000009</v>
      </c>
      <c r="I51" s="144">
        <f>231161.12+6276+116067.1+533995.74</f>
        <v>887499.96</v>
      </c>
      <c r="J51" s="12"/>
    </row>
    <row r="52" spans="1:10" ht="32.25" thickBot="1">
      <c r="A52" s="177" t="s">
        <v>69</v>
      </c>
      <c r="B52" s="144" t="s">
        <v>70</v>
      </c>
      <c r="C52" s="152" t="s">
        <v>26</v>
      </c>
      <c r="D52" s="152">
        <f>G27+D28-D30</f>
        <v>0</v>
      </c>
      <c r="E52" s="152">
        <f>H27+E28-E30</f>
        <v>0</v>
      </c>
      <c r="F52" s="152">
        <f>I27+F28-F30</f>
        <v>0</v>
      </c>
      <c r="G52" s="152">
        <f>G28-G30</f>
        <v>0</v>
      </c>
      <c r="H52" s="152">
        <f>H28-H30</f>
        <v>0</v>
      </c>
      <c r="I52" s="152">
        <f>I28-I30</f>
        <v>0</v>
      </c>
      <c r="J52" s="12"/>
    </row>
    <row r="53" spans="1:10" ht="9" customHeight="1">
      <c r="A53" s="23"/>
    </row>
    <row r="54" spans="1:10" ht="27.75" customHeight="1" thickBot="1">
      <c r="A54" s="24" t="s">
        <v>71</v>
      </c>
      <c r="B54" s="25"/>
      <c r="C54" s="26" t="s">
        <v>72</v>
      </c>
      <c r="D54" s="25"/>
      <c r="E54" s="26"/>
      <c r="F54" s="25"/>
      <c r="G54" s="26" t="s">
        <v>73</v>
      </c>
      <c r="H54" s="25"/>
      <c r="I54" s="25"/>
    </row>
    <row r="55" spans="1:10" ht="9.75" customHeight="1">
      <c r="A55" s="27"/>
      <c r="B55" s="27"/>
      <c r="C55" s="28" t="s">
        <v>74</v>
      </c>
      <c r="D55" s="27"/>
      <c r="E55" s="28" t="s">
        <v>75</v>
      </c>
      <c r="F55" s="27"/>
      <c r="G55" s="28" t="s">
        <v>76</v>
      </c>
      <c r="H55" s="29"/>
      <c r="I55" s="29"/>
    </row>
    <row r="56" spans="1:10" ht="24.75" thickBot="1">
      <c r="A56" s="24" t="s">
        <v>77</v>
      </c>
      <c r="B56" s="25"/>
      <c r="C56" s="26"/>
      <c r="D56" s="25"/>
      <c r="E56" s="26" t="s">
        <v>78</v>
      </c>
      <c r="F56" s="25"/>
      <c r="G56" s="25"/>
      <c r="H56" s="25"/>
      <c r="I56" s="25"/>
    </row>
    <row r="57" spans="1:10" ht="8.25" customHeight="1">
      <c r="A57" s="29"/>
      <c r="B57" s="27"/>
      <c r="C57" s="29" t="s">
        <v>75</v>
      </c>
      <c r="D57" s="27"/>
      <c r="E57" s="29" t="s">
        <v>76</v>
      </c>
      <c r="F57" s="27"/>
      <c r="G57" s="27"/>
      <c r="H57" s="27"/>
      <c r="I57" s="27"/>
    </row>
    <row r="58" spans="1:10" ht="24.75" thickBot="1">
      <c r="A58" s="24" t="s">
        <v>79</v>
      </c>
      <c r="B58" s="25"/>
      <c r="C58" s="30" t="s">
        <v>77</v>
      </c>
      <c r="D58" s="25"/>
      <c r="E58" s="30"/>
      <c r="F58" s="25"/>
      <c r="G58" s="26" t="s">
        <v>78</v>
      </c>
      <c r="H58" s="25"/>
      <c r="I58" s="26" t="s">
        <v>80</v>
      </c>
    </row>
    <row r="59" spans="1:10">
      <c r="A59" s="29"/>
      <c r="B59" s="27"/>
      <c r="C59" s="29" t="s">
        <v>74</v>
      </c>
      <c r="D59" s="27"/>
      <c r="E59" s="29" t="s">
        <v>75</v>
      </c>
      <c r="F59" s="27"/>
      <c r="G59" s="29" t="s">
        <v>76</v>
      </c>
      <c r="H59" s="27"/>
      <c r="I59" s="29" t="s">
        <v>81</v>
      </c>
    </row>
    <row r="60" spans="1:10" ht="18.75">
      <c r="A60" s="7"/>
    </row>
    <row r="61" spans="1:10" ht="18.75">
      <c r="A61" s="7"/>
    </row>
    <row r="62" spans="1:10" ht="18.75">
      <c r="A62" s="7"/>
    </row>
    <row r="63" spans="1:10" ht="18.75">
      <c r="A63" s="7" t="s">
        <v>144</v>
      </c>
      <c r="B63" s="178" t="s">
        <v>145</v>
      </c>
      <c r="C63" s="178"/>
      <c r="D63" s="178"/>
    </row>
    <row r="64" spans="1:10" ht="18.75">
      <c r="A64" s="7"/>
      <c r="B64" t="s">
        <v>146</v>
      </c>
    </row>
    <row r="65" spans="1:2" ht="18.75">
      <c r="A65" s="7"/>
      <c r="B65" t="s">
        <v>147</v>
      </c>
    </row>
    <row r="66" spans="1:2" ht="18.75">
      <c r="A66" s="7"/>
    </row>
    <row r="67" spans="1:2" ht="18.75">
      <c r="A67" s="7"/>
    </row>
    <row r="68" spans="1:2" ht="18.75">
      <c r="A68" s="7"/>
    </row>
    <row r="69" spans="1:2" ht="18.75">
      <c r="A69" s="7"/>
    </row>
    <row r="70" spans="1:2" ht="18.75">
      <c r="A70" s="7"/>
    </row>
    <row r="71" spans="1:2" ht="18.75">
      <c r="A71" s="7"/>
    </row>
    <row r="72" spans="1:2" ht="18.75">
      <c r="A72" s="7"/>
    </row>
    <row r="73" spans="1:2" ht="18.75">
      <c r="A73" s="7"/>
    </row>
    <row r="74" spans="1:2" ht="18.75">
      <c r="A74" s="7"/>
    </row>
    <row r="75" spans="1:2" ht="18.75">
      <c r="A75" s="7"/>
    </row>
    <row r="77" spans="1:2" ht="15.75">
      <c r="A77" s="1"/>
    </row>
    <row r="78" spans="1:2" ht="15.75">
      <c r="A78" s="1"/>
    </row>
    <row r="79" spans="1:2" ht="15.75">
      <c r="A79" s="1"/>
    </row>
    <row r="80" spans="1:2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2"/>
    </row>
    <row r="85" spans="1:1" ht="15.75">
      <c r="A85" s="1"/>
    </row>
    <row r="86" spans="1:1" ht="18.75">
      <c r="A86" s="31"/>
    </row>
    <row r="87" spans="1:1" ht="15.75">
      <c r="A87" s="5" t="s">
        <v>84</v>
      </c>
    </row>
    <row r="88" spans="1:1" ht="15.75">
      <c r="A88" s="5" t="s">
        <v>85</v>
      </c>
    </row>
    <row r="89" spans="1:1" ht="15.75">
      <c r="A89" s="5" t="s">
        <v>86</v>
      </c>
    </row>
    <row r="90" spans="1:1" ht="15.75">
      <c r="A90" s="4"/>
    </row>
    <row r="91" spans="1:1" ht="15.75">
      <c r="A91" s="4"/>
    </row>
    <row r="92" spans="1:1" ht="15.75">
      <c r="A92" s="4" t="s">
        <v>9</v>
      </c>
    </row>
    <row r="93" spans="1:1" ht="18.75">
      <c r="A93" s="6"/>
    </row>
    <row r="94" spans="1:1" ht="15.75">
      <c r="A94" s="4" t="s">
        <v>87</v>
      </c>
    </row>
    <row r="95" spans="1:1" ht="15.75">
      <c r="A95" s="4"/>
    </row>
    <row r="96" spans="1:1" ht="18.75">
      <c r="A96" s="7"/>
    </row>
    <row r="97" spans="1:4" ht="16.5" thickBot="1">
      <c r="A97" s="4"/>
    </row>
    <row r="98" spans="1:4" ht="47.25">
      <c r="A98" s="191" t="s">
        <v>88</v>
      </c>
      <c r="B98" s="191" t="s">
        <v>89</v>
      </c>
      <c r="C98" s="32" t="s">
        <v>14</v>
      </c>
      <c r="D98" s="191" t="s">
        <v>92</v>
      </c>
    </row>
    <row r="99" spans="1:4" ht="31.5">
      <c r="A99" s="192"/>
      <c r="B99" s="192"/>
      <c r="C99" s="33" t="s">
        <v>90</v>
      </c>
      <c r="D99" s="192"/>
    </row>
    <row r="100" spans="1:4" ht="47.25">
      <c r="A100" s="192"/>
      <c r="B100" s="192"/>
      <c r="C100" s="33" t="s">
        <v>16</v>
      </c>
      <c r="D100" s="192"/>
    </row>
    <row r="101" spans="1:4" ht="47.25">
      <c r="A101" s="192"/>
      <c r="B101" s="192"/>
      <c r="C101" s="33" t="s">
        <v>17</v>
      </c>
      <c r="D101" s="192"/>
    </row>
    <row r="102" spans="1:4" ht="32.25" thickBot="1">
      <c r="A102" s="193"/>
      <c r="B102" s="193"/>
      <c r="C102" s="34" t="s">
        <v>91</v>
      </c>
      <c r="D102" s="193"/>
    </row>
    <row r="103" spans="1:4" ht="16.5" thickBot="1">
      <c r="A103" s="176">
        <v>1</v>
      </c>
      <c r="B103" s="34">
        <v>2</v>
      </c>
      <c r="C103" s="34">
        <v>3</v>
      </c>
      <c r="D103" s="34">
        <v>4</v>
      </c>
    </row>
    <row r="104" spans="1:4" ht="16.5" thickBot="1">
      <c r="A104" s="176" t="s">
        <v>24</v>
      </c>
      <c r="B104" s="175"/>
      <c r="C104" s="175"/>
      <c r="D104" s="35"/>
    </row>
    <row r="105" spans="1:4" ht="16.5" thickBot="1">
      <c r="A105" s="176" t="s">
        <v>93</v>
      </c>
      <c r="B105" s="175"/>
      <c r="C105" s="175"/>
      <c r="D105" s="35"/>
    </row>
    <row r="106" spans="1:4" ht="16.5" thickBot="1">
      <c r="A106" s="176" t="s">
        <v>94</v>
      </c>
      <c r="B106" s="175"/>
      <c r="C106" s="34"/>
      <c r="D106" s="35"/>
    </row>
    <row r="107" spans="1:4" ht="16.5" thickBot="1">
      <c r="A107" s="176"/>
      <c r="B107" s="175" t="s">
        <v>95</v>
      </c>
      <c r="C107" s="34"/>
      <c r="D107" s="35"/>
    </row>
    <row r="108" spans="1:4" ht="15.75">
      <c r="A108" s="191" t="s">
        <v>96</v>
      </c>
      <c r="B108" s="174" t="s">
        <v>97</v>
      </c>
      <c r="C108" s="191"/>
      <c r="D108" s="194"/>
    </row>
    <row r="109" spans="1:4" ht="16.5" thickBot="1">
      <c r="A109" s="193"/>
      <c r="B109" s="175" t="s">
        <v>98</v>
      </c>
      <c r="C109" s="193"/>
      <c r="D109" s="195"/>
    </row>
    <row r="110" spans="1:4" ht="15.75">
      <c r="A110" s="3"/>
    </row>
    <row r="111" spans="1:4" ht="15.75">
      <c r="A111" s="3"/>
    </row>
    <row r="112" spans="1:4" ht="15.75">
      <c r="A112" s="3"/>
    </row>
    <row r="113" spans="1:9" ht="60.75" thickBot="1">
      <c r="A113" s="37" t="s">
        <v>99</v>
      </c>
      <c r="B113" s="25"/>
      <c r="C113" s="26"/>
      <c r="D113" s="25"/>
      <c r="E113" s="26"/>
      <c r="F113" s="25"/>
      <c r="G113" s="26"/>
      <c r="H113" s="25"/>
      <c r="I113" s="25"/>
    </row>
    <row r="114" spans="1:9">
      <c r="A114" s="27"/>
      <c r="B114" s="27"/>
      <c r="C114" s="28" t="s">
        <v>74</v>
      </c>
      <c r="D114" s="27"/>
      <c r="E114" s="28" t="s">
        <v>75</v>
      </c>
      <c r="F114" s="27"/>
      <c r="G114" s="28" t="s">
        <v>76</v>
      </c>
      <c r="H114" s="29"/>
      <c r="I114" s="29"/>
    </row>
    <row r="115" spans="1:9" ht="24.75" thickBot="1">
      <c r="A115" s="24" t="s">
        <v>77</v>
      </c>
      <c r="B115" s="25"/>
      <c r="C115" s="26"/>
      <c r="D115" s="25"/>
      <c r="E115" s="26"/>
      <c r="F115" s="25"/>
      <c r="G115" s="25"/>
      <c r="H115" s="25"/>
      <c r="I115" s="25"/>
    </row>
    <row r="116" spans="1:9">
      <c r="A116" s="29"/>
      <c r="B116" s="27"/>
      <c r="C116" s="29" t="s">
        <v>75</v>
      </c>
      <c r="D116" s="27"/>
      <c r="E116" s="29" t="s">
        <v>76</v>
      </c>
      <c r="F116" s="27"/>
      <c r="G116" s="27"/>
      <c r="H116" s="27"/>
      <c r="I116" s="27"/>
    </row>
    <row r="117" spans="1:9" ht="24.75" thickBot="1">
      <c r="A117" s="24" t="s">
        <v>79</v>
      </c>
      <c r="B117" s="25"/>
      <c r="C117" s="30"/>
      <c r="D117" s="25"/>
      <c r="E117" s="30"/>
      <c r="F117" s="25"/>
      <c r="G117" s="26"/>
      <c r="H117" s="25"/>
      <c r="I117" s="26"/>
    </row>
    <row r="118" spans="1:9">
      <c r="A118" s="29"/>
      <c r="B118" s="27"/>
      <c r="C118" s="29" t="s">
        <v>74</v>
      </c>
      <c r="D118" s="27"/>
      <c r="E118" s="29" t="s">
        <v>75</v>
      </c>
      <c r="F118" s="27"/>
      <c r="G118" s="29" t="s">
        <v>76</v>
      </c>
      <c r="H118" s="27"/>
      <c r="I118" s="29" t="s">
        <v>81</v>
      </c>
    </row>
    <row r="119" spans="1:9" ht="18.75">
      <c r="A119" s="7"/>
    </row>
    <row r="120" spans="1:9" ht="18.75">
      <c r="A120" s="7"/>
    </row>
    <row r="121" spans="1:9" ht="18.75">
      <c r="A121" s="7"/>
    </row>
    <row r="122" spans="1:9" ht="18.75">
      <c r="A122" s="7"/>
    </row>
    <row r="123" spans="1:9" ht="18.75">
      <c r="A123" s="7"/>
    </row>
  </sheetData>
  <mergeCells count="25">
    <mergeCell ref="G20:G24"/>
    <mergeCell ref="H20:I23"/>
    <mergeCell ref="J20:J22"/>
    <mergeCell ref="E23:E24"/>
    <mergeCell ref="F23:F24"/>
    <mergeCell ref="G28:G29"/>
    <mergeCell ref="H28:H29"/>
    <mergeCell ref="I28:I29"/>
    <mergeCell ref="J28:J29"/>
    <mergeCell ref="A98:A102"/>
    <mergeCell ref="B98:B102"/>
    <mergeCell ref="D98:D102"/>
    <mergeCell ref="A28:A29"/>
    <mergeCell ref="B28:B29"/>
    <mergeCell ref="C28:C29"/>
    <mergeCell ref="D28:D29"/>
    <mergeCell ref="E28:E29"/>
    <mergeCell ref="F28:F29"/>
    <mergeCell ref="A108:A109"/>
    <mergeCell ref="C108:C109"/>
    <mergeCell ref="D108:D109"/>
    <mergeCell ref="B13:E13"/>
    <mergeCell ref="B15:E15"/>
    <mergeCell ref="D20:D24"/>
    <mergeCell ref="E20:F22"/>
  </mergeCells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125"/>
  <sheetViews>
    <sheetView topLeftCell="A16" workbookViewId="0">
      <selection activeCell="D27" sqref="D27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3.5703125" customWidth="1"/>
    <col min="7" max="7" width="18.85546875" customWidth="1"/>
    <col min="8" max="8" width="23.7109375" customWidth="1"/>
    <col min="9" max="9" width="26.5703125" customWidth="1"/>
  </cols>
  <sheetData>
    <row r="2" spans="1:9" ht="21">
      <c r="H2" s="92" t="s">
        <v>109</v>
      </c>
    </row>
    <row r="3" spans="1:9" ht="15.75">
      <c r="A3" s="1"/>
      <c r="F3" s="1"/>
      <c r="G3" s="1"/>
      <c r="H3" s="1" t="s">
        <v>0</v>
      </c>
      <c r="I3" s="1"/>
    </row>
    <row r="4" spans="1:9" ht="15.75">
      <c r="A4" s="1"/>
      <c r="F4" s="1"/>
      <c r="G4" s="1"/>
      <c r="H4" s="1" t="s">
        <v>1</v>
      </c>
      <c r="I4" s="1"/>
    </row>
    <row r="5" spans="1:9" ht="15.75">
      <c r="A5" s="1"/>
      <c r="F5" s="1"/>
      <c r="G5" s="1"/>
      <c r="H5" s="1" t="s">
        <v>2</v>
      </c>
      <c r="I5" s="1"/>
    </row>
    <row r="6" spans="1:9" ht="15.75">
      <c r="A6" s="1"/>
      <c r="F6" s="1"/>
      <c r="G6" s="1"/>
      <c r="H6" s="1" t="s">
        <v>3</v>
      </c>
      <c r="I6" s="1"/>
    </row>
    <row r="7" spans="1:9" ht="15.75">
      <c r="A7" s="1"/>
      <c r="F7" s="1"/>
      <c r="G7" s="1"/>
      <c r="H7" s="1" t="s">
        <v>4</v>
      </c>
      <c r="I7" s="1"/>
    </row>
    <row r="8" spans="1:9" ht="15.75">
      <c r="A8" s="1"/>
      <c r="F8" s="1"/>
      <c r="G8" s="1"/>
      <c r="H8" s="1" t="s">
        <v>5</v>
      </c>
      <c r="I8" s="1"/>
    </row>
    <row r="9" spans="1:9" ht="15.75">
      <c r="A9" s="1"/>
      <c r="F9" s="1"/>
      <c r="G9" s="1"/>
      <c r="H9" s="1" t="s">
        <v>6</v>
      </c>
      <c r="I9" s="1"/>
    </row>
    <row r="10" spans="1:9" ht="15.75">
      <c r="A10" s="2"/>
      <c r="F10" s="2"/>
      <c r="G10" s="2"/>
      <c r="H10" s="2" t="s">
        <v>7</v>
      </c>
      <c r="I10" s="2"/>
    </row>
    <row r="11" spans="1:9" ht="15.75">
      <c r="A11" s="1"/>
      <c r="F11" s="1"/>
      <c r="G11" s="1"/>
      <c r="H11" s="1" t="s">
        <v>8</v>
      </c>
      <c r="I11" s="1"/>
    </row>
    <row r="12" spans="1:9" ht="15.75">
      <c r="A12" s="4"/>
    </row>
    <row r="13" spans="1:9" ht="18.75">
      <c r="A13" s="5"/>
      <c r="B13" s="49" t="s">
        <v>103</v>
      </c>
      <c r="C13" s="49"/>
      <c r="D13" s="49"/>
      <c r="E13" s="48"/>
    </row>
    <row r="14" spans="1:9" ht="15.75">
      <c r="B14" s="50" t="s">
        <v>100</v>
      </c>
      <c r="C14" s="51"/>
      <c r="D14" s="51"/>
      <c r="E14" s="51"/>
    </row>
    <row r="15" spans="1:9" ht="15.75">
      <c r="A15" s="4"/>
      <c r="B15" s="43"/>
      <c r="C15" s="43"/>
      <c r="D15" s="43"/>
      <c r="E15" s="43"/>
    </row>
    <row r="16" spans="1:9" ht="26.25">
      <c r="A16" s="6"/>
      <c r="B16" s="51" t="s">
        <v>118</v>
      </c>
      <c r="C16" s="43"/>
      <c r="D16" s="43"/>
      <c r="E16" s="43"/>
      <c r="H16" s="52">
        <v>2</v>
      </c>
    </row>
    <row r="17" spans="1:9" ht="15.75">
      <c r="A17" s="4"/>
      <c r="B17" s="43"/>
      <c r="C17" s="43"/>
      <c r="D17" s="43"/>
      <c r="E17" s="43"/>
    </row>
    <row r="18" spans="1:9" ht="15.75">
      <c r="A18" s="4"/>
      <c r="B18" s="4"/>
    </row>
    <row r="19" spans="1:9" ht="19.5" thickBot="1">
      <c r="A19" s="7"/>
    </row>
    <row r="20" spans="1:9" ht="47.25">
      <c r="A20" s="78" t="s">
        <v>10</v>
      </c>
      <c r="B20" s="81" t="s">
        <v>12</v>
      </c>
      <c r="C20" s="81" t="s">
        <v>14</v>
      </c>
      <c r="D20" s="179" t="s">
        <v>19</v>
      </c>
      <c r="E20" s="182" t="s">
        <v>20</v>
      </c>
      <c r="F20" s="183"/>
      <c r="G20" s="182" t="s">
        <v>21</v>
      </c>
      <c r="H20" s="196" t="s">
        <v>20</v>
      </c>
      <c r="I20" s="197"/>
    </row>
    <row r="21" spans="1:9" ht="31.5">
      <c r="A21" s="79" t="s">
        <v>11</v>
      </c>
      <c r="B21" s="82" t="s">
        <v>13</v>
      </c>
      <c r="C21" s="82" t="s">
        <v>15</v>
      </c>
      <c r="D21" s="180"/>
      <c r="E21" s="184"/>
      <c r="F21" s="185"/>
      <c r="G21" s="184"/>
      <c r="H21" s="198"/>
      <c r="I21" s="199"/>
    </row>
    <row r="22" spans="1:9" ht="48" thickBot="1">
      <c r="A22" s="8"/>
      <c r="B22" s="10"/>
      <c r="C22" s="82" t="s">
        <v>16</v>
      </c>
      <c r="D22" s="180"/>
      <c r="E22" s="186"/>
      <c r="F22" s="187"/>
      <c r="G22" s="184"/>
      <c r="H22" s="198"/>
      <c r="I22" s="199"/>
    </row>
    <row r="23" spans="1:9" ht="47.25">
      <c r="A23" s="8"/>
      <c r="B23" s="10"/>
      <c r="C23" s="82" t="s">
        <v>17</v>
      </c>
      <c r="D23" s="180"/>
      <c r="E23" s="189">
        <v>130</v>
      </c>
      <c r="F23" s="189">
        <v>180</v>
      </c>
      <c r="G23" s="184"/>
      <c r="H23" s="200"/>
      <c r="I23" s="201"/>
    </row>
    <row r="24" spans="1:9" ht="32.25" thickBot="1">
      <c r="A24" s="9"/>
      <c r="B24" s="11"/>
      <c r="C24" s="83" t="s">
        <v>18</v>
      </c>
      <c r="D24" s="181"/>
      <c r="E24" s="190"/>
      <c r="F24" s="190"/>
      <c r="G24" s="181"/>
      <c r="H24" s="53">
        <v>130</v>
      </c>
      <c r="I24" s="53">
        <v>180</v>
      </c>
    </row>
    <row r="25" spans="1:9" ht="16.5" thickBot="1">
      <c r="A25" s="80">
        <v>1</v>
      </c>
      <c r="B25" s="83">
        <v>2</v>
      </c>
      <c r="C25" s="83">
        <v>3</v>
      </c>
      <c r="D25" s="83">
        <v>4</v>
      </c>
      <c r="E25" s="83"/>
      <c r="F25" s="83"/>
      <c r="G25" s="83"/>
      <c r="H25" s="83">
        <v>5</v>
      </c>
      <c r="I25" s="83">
        <v>6</v>
      </c>
    </row>
    <row r="26" spans="1:9" ht="19.5" thickBot="1">
      <c r="A26" s="80" t="s">
        <v>24</v>
      </c>
      <c r="B26" s="83" t="s">
        <v>105</v>
      </c>
      <c r="C26" s="83" t="s">
        <v>26</v>
      </c>
      <c r="D26" s="83">
        <f>E26+F26</f>
        <v>1720000</v>
      </c>
      <c r="E26" s="83">
        <v>1570000</v>
      </c>
      <c r="F26" s="83">
        <v>150000</v>
      </c>
      <c r="G26" s="53">
        <f>H26+I26</f>
        <v>1720000</v>
      </c>
      <c r="H26" s="83">
        <v>1570000</v>
      </c>
      <c r="I26" s="83">
        <v>150000</v>
      </c>
    </row>
    <row r="27" spans="1:9" ht="19.5" thickBot="1">
      <c r="A27" s="80"/>
      <c r="B27" s="83" t="s">
        <v>106</v>
      </c>
      <c r="C27" s="83" t="s">
        <v>26</v>
      </c>
      <c r="D27" s="83">
        <v>7525.82</v>
      </c>
      <c r="E27" s="83">
        <v>7525.82</v>
      </c>
      <c r="F27" s="83"/>
      <c r="G27" s="53">
        <v>7525.82</v>
      </c>
      <c r="H27" s="83">
        <v>7525.82</v>
      </c>
      <c r="I27" s="83"/>
    </row>
    <row r="28" spans="1:9" ht="19.5" thickBot="1">
      <c r="A28" s="80"/>
      <c r="B28" s="83" t="s">
        <v>113</v>
      </c>
      <c r="C28" s="83"/>
      <c r="D28" s="83">
        <f>E28+F28</f>
        <v>244999.43</v>
      </c>
      <c r="E28" s="83">
        <v>244999.43</v>
      </c>
      <c r="F28" s="83"/>
      <c r="G28" s="53">
        <f>H28+I28</f>
        <v>244999.43</v>
      </c>
      <c r="H28" s="83">
        <v>244999.43</v>
      </c>
      <c r="I28" s="83"/>
    </row>
    <row r="29" spans="1:9" ht="38.25" customHeight="1" thickBot="1">
      <c r="A29" s="80" t="s">
        <v>27</v>
      </c>
      <c r="B29" s="83" t="s">
        <v>112</v>
      </c>
      <c r="C29" s="83" t="s">
        <v>29</v>
      </c>
      <c r="D29" s="83">
        <f>E29+F29</f>
        <v>252525.25</v>
      </c>
      <c r="E29" s="83">
        <f>E27+E28</f>
        <v>252525.25</v>
      </c>
      <c r="F29" s="83"/>
      <c r="G29" s="39">
        <f>G27+G28</f>
        <v>252525.25</v>
      </c>
      <c r="H29" s="39">
        <f>H27+H28</f>
        <v>252525.25</v>
      </c>
      <c r="I29" s="39"/>
    </row>
    <row r="30" spans="1:9" ht="27" customHeight="1">
      <c r="A30" s="179" t="s">
        <v>30</v>
      </c>
      <c r="B30" s="179" t="s">
        <v>102</v>
      </c>
      <c r="C30" s="179" t="s">
        <v>32</v>
      </c>
      <c r="D30" s="179">
        <f>E30+F30</f>
        <v>192611.07</v>
      </c>
      <c r="E30" s="179">
        <v>192611.07</v>
      </c>
      <c r="F30" s="179"/>
      <c r="G30" s="179">
        <f>H30+I30</f>
        <v>588803.19999999995</v>
      </c>
      <c r="H30" s="179">
        <f>396192.13+192611.07</f>
        <v>588803.19999999995</v>
      </c>
      <c r="I30" s="179">
        <v>0</v>
      </c>
    </row>
    <row r="31" spans="1:9" ht="24" customHeight="1" thickBot="1">
      <c r="A31" s="181"/>
      <c r="B31" s="181"/>
      <c r="C31" s="181"/>
      <c r="D31" s="181"/>
      <c r="E31" s="181"/>
      <c r="F31" s="181"/>
      <c r="G31" s="180"/>
      <c r="H31" s="181"/>
      <c r="I31" s="181"/>
    </row>
    <row r="32" spans="1:9" ht="47.25" customHeight="1" thickBot="1">
      <c r="A32" s="41" t="s">
        <v>33</v>
      </c>
      <c r="B32" s="38" t="s">
        <v>34</v>
      </c>
      <c r="C32" s="38">
        <v>900</v>
      </c>
      <c r="D32" s="38">
        <f>D34+D39+D46+D49+D50</f>
        <v>211248.75</v>
      </c>
      <c r="E32" s="38">
        <f>E34+E39+E46+E49+E50</f>
        <v>211248.75</v>
      </c>
      <c r="F32" s="97">
        <f>F34+F5039+F46+F49+F50</f>
        <v>0</v>
      </c>
      <c r="G32" s="98">
        <f t="shared" ref="G32" si="0">H32+I32</f>
        <v>362441.45</v>
      </c>
      <c r="H32" s="38">
        <f>H34+H39+H46+H49+H50</f>
        <v>362441.45</v>
      </c>
      <c r="I32" s="38">
        <v>0</v>
      </c>
    </row>
    <row r="33" spans="1:9" ht="16.5" thickBot="1">
      <c r="A33" s="80"/>
      <c r="B33" s="83" t="s">
        <v>35</v>
      </c>
      <c r="C33" s="83"/>
      <c r="D33" s="83"/>
      <c r="E33" s="83"/>
      <c r="F33" s="93"/>
      <c r="G33" s="95"/>
      <c r="H33" s="83"/>
      <c r="I33" s="83"/>
    </row>
    <row r="34" spans="1:9" ht="32.25" thickBot="1">
      <c r="A34" s="80" t="s">
        <v>36</v>
      </c>
      <c r="B34" s="83" t="s">
        <v>37</v>
      </c>
      <c r="C34" s="13">
        <v>210</v>
      </c>
      <c r="D34" s="13">
        <f>D36+D37+D38</f>
        <v>11248.75</v>
      </c>
      <c r="E34" s="13">
        <f t="shared" ref="E34:F34" si="1">E36+E37+E38</f>
        <v>11248.75</v>
      </c>
      <c r="F34" s="99">
        <f t="shared" si="1"/>
        <v>0</v>
      </c>
      <c r="G34" s="100">
        <f t="shared" ref="G34" si="2">H34+I34</f>
        <v>12441.45</v>
      </c>
      <c r="H34" s="13">
        <f>H36+H37+H38</f>
        <v>12441.45</v>
      </c>
      <c r="I34" s="13">
        <f>I36+I37+I38</f>
        <v>0</v>
      </c>
    </row>
    <row r="35" spans="1:9" ht="16.5" thickBot="1">
      <c r="A35" s="80"/>
      <c r="B35" s="83" t="s">
        <v>38</v>
      </c>
      <c r="C35" s="83"/>
      <c r="D35" s="83"/>
      <c r="E35" s="83"/>
      <c r="F35" s="93"/>
      <c r="G35" s="95"/>
      <c r="H35" s="83"/>
      <c r="I35" s="83"/>
    </row>
    <row r="36" spans="1:9" ht="16.5" thickBot="1">
      <c r="A36" s="80" t="s">
        <v>39</v>
      </c>
      <c r="B36" s="83" t="s">
        <v>40</v>
      </c>
      <c r="C36" s="83">
        <v>211</v>
      </c>
      <c r="D36" s="83">
        <f>E36+F36</f>
        <v>9481.67</v>
      </c>
      <c r="E36" s="83">
        <v>9481.67</v>
      </c>
      <c r="F36" s="93">
        <v>0</v>
      </c>
      <c r="G36" s="95">
        <f t="shared" ref="G36" si="3">H36+I36</f>
        <v>10674.37</v>
      </c>
      <c r="H36" s="83">
        <f>1192.7+9481.67</f>
        <v>10674.37</v>
      </c>
      <c r="I36" s="83"/>
    </row>
    <row r="37" spans="1:9" ht="16.5" thickBot="1">
      <c r="A37" s="80" t="s">
        <v>41</v>
      </c>
      <c r="B37" s="83" t="s">
        <v>42</v>
      </c>
      <c r="C37" s="83">
        <v>212</v>
      </c>
      <c r="D37" s="83">
        <v>0</v>
      </c>
      <c r="E37" s="83"/>
      <c r="F37" s="93">
        <v>0</v>
      </c>
      <c r="G37" s="95"/>
      <c r="H37" s="83"/>
      <c r="I37" s="83">
        <v>0</v>
      </c>
    </row>
    <row r="38" spans="1:9" ht="16.5" thickBot="1">
      <c r="A38" s="80" t="s">
        <v>43</v>
      </c>
      <c r="B38" s="83" t="s">
        <v>44</v>
      </c>
      <c r="C38" s="83">
        <v>213</v>
      </c>
      <c r="D38" s="83">
        <f>E38+F38</f>
        <v>1767.08</v>
      </c>
      <c r="E38" s="83">
        <v>1767.08</v>
      </c>
      <c r="F38" s="93">
        <v>0</v>
      </c>
      <c r="G38" s="95">
        <f t="shared" ref="G38" si="4">H38+I38</f>
        <v>1767.08</v>
      </c>
      <c r="H38" s="83">
        <v>1767.08</v>
      </c>
      <c r="I38" s="83">
        <v>0</v>
      </c>
    </row>
    <row r="39" spans="1:9" ht="16.5" thickBot="1">
      <c r="A39" s="80" t="s">
        <v>45</v>
      </c>
      <c r="B39" s="83" t="s">
        <v>46</v>
      </c>
      <c r="C39" s="14">
        <v>220</v>
      </c>
      <c r="D39" s="14">
        <f t="shared" ref="D39:I39" si="5">D41+D42+D43+D44+D45</f>
        <v>0</v>
      </c>
      <c r="E39" s="14">
        <f t="shared" si="5"/>
        <v>0</v>
      </c>
      <c r="F39" s="96">
        <f t="shared" si="5"/>
        <v>0</v>
      </c>
      <c r="G39" s="100"/>
      <c r="H39" s="14">
        <f t="shared" si="5"/>
        <v>0</v>
      </c>
      <c r="I39" s="14">
        <f t="shared" si="5"/>
        <v>0</v>
      </c>
    </row>
    <row r="40" spans="1:9" ht="16.5" thickBot="1">
      <c r="A40" s="80"/>
      <c r="B40" s="83" t="s">
        <v>38</v>
      </c>
      <c r="C40" s="83"/>
      <c r="D40" s="83"/>
      <c r="E40" s="83"/>
      <c r="F40" s="93"/>
      <c r="G40" s="95">
        <f t="shared" ref="G40" si="6">H40+I40</f>
        <v>0</v>
      </c>
      <c r="H40" s="83"/>
      <c r="I40" s="83"/>
    </row>
    <row r="41" spans="1:9" ht="16.5" thickBot="1">
      <c r="A41" s="80" t="s">
        <v>47</v>
      </c>
      <c r="B41" s="83" t="s">
        <v>48</v>
      </c>
      <c r="C41" s="83">
        <v>221</v>
      </c>
      <c r="D41" s="83">
        <v>0</v>
      </c>
      <c r="E41" s="83"/>
      <c r="F41" s="93"/>
      <c r="G41" s="95"/>
      <c r="H41" s="83"/>
      <c r="I41" s="83"/>
    </row>
    <row r="42" spans="1:9" ht="26.25" customHeight="1" thickBot="1">
      <c r="A42" s="80" t="s">
        <v>49</v>
      </c>
      <c r="B42" s="83" t="s">
        <v>50</v>
      </c>
      <c r="C42" s="83">
        <v>222</v>
      </c>
      <c r="D42" s="83">
        <v>0</v>
      </c>
      <c r="E42" s="83"/>
      <c r="F42" s="93"/>
      <c r="G42" s="95">
        <f t="shared" ref="G42" si="7">H42+I42</f>
        <v>0</v>
      </c>
      <c r="H42" s="83"/>
      <c r="I42" s="83"/>
    </row>
    <row r="43" spans="1:9" ht="29.25" customHeight="1" thickBot="1">
      <c r="A43" s="80" t="s">
        <v>51</v>
      </c>
      <c r="B43" s="83" t="s">
        <v>52</v>
      </c>
      <c r="C43" s="83">
        <v>223</v>
      </c>
      <c r="D43" s="83">
        <v>0</v>
      </c>
      <c r="E43" s="83"/>
      <c r="F43" s="93"/>
      <c r="G43" s="95"/>
      <c r="H43" s="83"/>
      <c r="I43" s="83"/>
    </row>
    <row r="44" spans="1:9" ht="16.5" thickBot="1">
      <c r="A44" s="80" t="s">
        <v>53</v>
      </c>
      <c r="B44" s="83" t="s">
        <v>54</v>
      </c>
      <c r="C44" s="83">
        <v>225</v>
      </c>
      <c r="D44" s="83">
        <v>0</v>
      </c>
      <c r="E44" s="83"/>
      <c r="F44" s="93"/>
      <c r="G44" s="95">
        <f t="shared" ref="G44" si="8">H44+I44</f>
        <v>0</v>
      </c>
      <c r="H44" s="83"/>
      <c r="I44" s="83">
        <v>0</v>
      </c>
    </row>
    <row r="45" spans="1:9" ht="30" customHeight="1" thickBot="1">
      <c r="A45" s="80" t="s">
        <v>55</v>
      </c>
      <c r="B45" s="83" t="s">
        <v>56</v>
      </c>
      <c r="C45" s="83">
        <v>226</v>
      </c>
      <c r="D45" s="83">
        <v>0</v>
      </c>
      <c r="E45" s="83"/>
      <c r="F45" s="93"/>
      <c r="G45" s="95"/>
      <c r="H45" s="83"/>
      <c r="I45" s="83">
        <v>0</v>
      </c>
    </row>
    <row r="46" spans="1:9" ht="16.5" thickBot="1">
      <c r="A46" s="80" t="s">
        <v>57</v>
      </c>
      <c r="B46" s="83" t="s">
        <v>58</v>
      </c>
      <c r="C46" s="14">
        <v>260</v>
      </c>
      <c r="D46" s="14">
        <f t="shared" ref="D46:I46" si="9">D48</f>
        <v>0</v>
      </c>
      <c r="E46" s="14">
        <f t="shared" si="9"/>
        <v>0</v>
      </c>
      <c r="F46" s="96">
        <f t="shared" si="9"/>
        <v>0</v>
      </c>
      <c r="G46" s="100">
        <f t="shared" ref="G46" si="10">H46+I46</f>
        <v>0</v>
      </c>
      <c r="H46" s="14">
        <f t="shared" si="9"/>
        <v>0</v>
      </c>
      <c r="I46" s="14">
        <f t="shared" si="9"/>
        <v>0</v>
      </c>
    </row>
    <row r="47" spans="1:9" ht="16.5" thickBot="1">
      <c r="A47" s="80"/>
      <c r="B47" s="83" t="s">
        <v>38</v>
      </c>
      <c r="C47" s="83"/>
      <c r="D47" s="83"/>
      <c r="E47" s="83"/>
      <c r="F47" s="93"/>
      <c r="G47" s="95"/>
      <c r="H47" s="83"/>
      <c r="I47" s="83"/>
    </row>
    <row r="48" spans="1:9" ht="16.5" thickBot="1">
      <c r="A48" s="80" t="s">
        <v>59</v>
      </c>
      <c r="B48" s="83" t="s">
        <v>60</v>
      </c>
      <c r="C48" s="83">
        <v>262</v>
      </c>
      <c r="D48" s="83"/>
      <c r="E48" s="83"/>
      <c r="F48" s="93"/>
      <c r="G48" s="95">
        <f t="shared" ref="G48" si="11">H48+I48</f>
        <v>0</v>
      </c>
      <c r="H48" s="83"/>
      <c r="I48" s="83">
        <v>0</v>
      </c>
    </row>
    <row r="49" spans="1:9" ht="38.25" customHeight="1" thickBot="1">
      <c r="A49" s="80" t="s">
        <v>61</v>
      </c>
      <c r="B49" s="83" t="s">
        <v>62</v>
      </c>
      <c r="C49" s="14">
        <v>290</v>
      </c>
      <c r="D49" s="14">
        <v>0</v>
      </c>
      <c r="E49" s="14"/>
      <c r="F49" s="96">
        <v>0</v>
      </c>
      <c r="G49" s="100"/>
      <c r="H49" s="14"/>
      <c r="I49" s="14">
        <v>0</v>
      </c>
    </row>
    <row r="50" spans="1:9" ht="33" customHeight="1" thickBot="1">
      <c r="A50" s="80" t="s">
        <v>63</v>
      </c>
      <c r="B50" s="83" t="s">
        <v>64</v>
      </c>
      <c r="C50" s="14">
        <v>300</v>
      </c>
      <c r="D50" s="14">
        <f>E50+F50</f>
        <v>200000</v>
      </c>
      <c r="E50" s="14">
        <f t="shared" ref="E50:I50" si="12">E52+E53</f>
        <v>200000</v>
      </c>
      <c r="F50" s="96">
        <f t="shared" si="12"/>
        <v>0</v>
      </c>
      <c r="G50" s="100">
        <f t="shared" ref="G50" si="13">H50+I50</f>
        <v>350000</v>
      </c>
      <c r="H50" s="14">
        <f t="shared" si="12"/>
        <v>350000</v>
      </c>
      <c r="I50" s="14">
        <f t="shared" si="12"/>
        <v>0</v>
      </c>
    </row>
    <row r="51" spans="1:9" ht="16.5" thickBot="1">
      <c r="A51" s="80"/>
      <c r="B51" s="83" t="s">
        <v>38</v>
      </c>
      <c r="C51" s="83"/>
      <c r="D51" s="83"/>
      <c r="E51" s="83"/>
      <c r="F51" s="93"/>
      <c r="G51" s="95"/>
      <c r="H51" s="83"/>
      <c r="I51" s="83"/>
    </row>
    <row r="52" spans="1:9" ht="16.5" thickBot="1">
      <c r="A52" s="80" t="s">
        <v>65</v>
      </c>
      <c r="B52" s="83" t="s">
        <v>66</v>
      </c>
      <c r="C52" s="83">
        <v>310</v>
      </c>
      <c r="D52" s="83">
        <f>E52+F52</f>
        <v>0</v>
      </c>
      <c r="E52" s="83"/>
      <c r="F52" s="94">
        <v>0</v>
      </c>
      <c r="G52" s="95">
        <f>H52+I52</f>
        <v>80445</v>
      </c>
      <c r="H52" s="83">
        <v>80445</v>
      </c>
      <c r="I52" s="83"/>
    </row>
    <row r="53" spans="1:9" ht="16.5" thickBot="1">
      <c r="A53" s="80" t="s">
        <v>67</v>
      </c>
      <c r="B53" s="83" t="s">
        <v>68</v>
      </c>
      <c r="C53" s="83">
        <v>340</v>
      </c>
      <c r="D53" s="83">
        <f>E53+F53</f>
        <v>200000</v>
      </c>
      <c r="E53" s="83">
        <v>200000</v>
      </c>
      <c r="F53" s="93"/>
      <c r="G53" s="95">
        <f>H53+I53</f>
        <v>269555</v>
      </c>
      <c r="H53" s="83">
        <v>269555</v>
      </c>
      <c r="I53" s="83"/>
    </row>
    <row r="54" spans="1:9" ht="32.25" thickBot="1">
      <c r="A54" s="15" t="s">
        <v>69</v>
      </c>
      <c r="B54" s="16" t="s">
        <v>70</v>
      </c>
      <c r="C54" s="16" t="s">
        <v>26</v>
      </c>
      <c r="D54" s="54">
        <f>D29+D30-D32</f>
        <v>233887.57</v>
      </c>
      <c r="E54" s="54">
        <f>E29+E30-E32</f>
        <v>233887.57</v>
      </c>
      <c r="F54" s="54">
        <f>F29+F30-F32</f>
        <v>0</v>
      </c>
      <c r="G54" s="54">
        <f>G30-G32+G27</f>
        <v>233887.56999999995</v>
      </c>
      <c r="H54" s="54">
        <f>H30-H32+H27</f>
        <v>233887.56999999995</v>
      </c>
      <c r="I54" s="54">
        <f>I30-I32</f>
        <v>0</v>
      </c>
    </row>
    <row r="55" spans="1:9" ht="18.75">
      <c r="A55" s="23"/>
    </row>
    <row r="56" spans="1:9" ht="60.75" thickBot="1">
      <c r="A56" s="24" t="s">
        <v>71</v>
      </c>
      <c r="B56" s="25"/>
      <c r="C56" s="26" t="s">
        <v>72</v>
      </c>
      <c r="D56" s="25"/>
      <c r="E56" s="26"/>
      <c r="F56" s="25"/>
      <c r="G56" s="26" t="s">
        <v>73</v>
      </c>
      <c r="H56" s="25"/>
      <c r="I56" s="25"/>
    </row>
    <row r="57" spans="1:9">
      <c r="A57" s="27"/>
      <c r="B57" s="27"/>
      <c r="C57" s="28" t="s">
        <v>74</v>
      </c>
      <c r="D57" s="27"/>
      <c r="E57" s="28" t="s">
        <v>75</v>
      </c>
      <c r="F57" s="27"/>
      <c r="G57" s="28" t="s">
        <v>76</v>
      </c>
      <c r="H57" s="29"/>
      <c r="I57" s="29"/>
    </row>
    <row r="58" spans="1:9" ht="24.75" thickBot="1">
      <c r="A58" s="24" t="s">
        <v>77</v>
      </c>
      <c r="B58" s="25"/>
      <c r="C58" s="26"/>
      <c r="D58" s="25"/>
      <c r="E58" s="26" t="s">
        <v>78</v>
      </c>
      <c r="F58" s="25"/>
      <c r="G58" s="25"/>
      <c r="H58" s="25"/>
      <c r="I58" s="25"/>
    </row>
    <row r="59" spans="1:9">
      <c r="A59" s="29"/>
      <c r="B59" s="27"/>
      <c r="C59" s="29" t="s">
        <v>75</v>
      </c>
      <c r="D59" s="27"/>
      <c r="E59" s="29" t="s">
        <v>76</v>
      </c>
      <c r="F59" s="27"/>
      <c r="G59" s="27"/>
      <c r="H59" s="27"/>
      <c r="I59" s="27"/>
    </row>
    <row r="60" spans="1:9" ht="24.75" thickBot="1">
      <c r="A60" s="24" t="s">
        <v>79</v>
      </c>
      <c r="B60" s="25"/>
      <c r="C60" s="30" t="s">
        <v>77</v>
      </c>
      <c r="D60" s="25"/>
      <c r="E60" s="30"/>
      <c r="F60" s="25"/>
      <c r="G60" s="26" t="s">
        <v>78</v>
      </c>
      <c r="H60" s="25"/>
      <c r="I60" s="26" t="s">
        <v>80</v>
      </c>
    </row>
    <row r="61" spans="1:9">
      <c r="A61" s="29"/>
      <c r="B61" s="27"/>
      <c r="C61" s="29" t="s">
        <v>74</v>
      </c>
      <c r="D61" s="27"/>
      <c r="E61" s="29" t="s">
        <v>75</v>
      </c>
      <c r="F61" s="27"/>
      <c r="G61" s="29" t="s">
        <v>76</v>
      </c>
      <c r="H61" s="27"/>
      <c r="I61" s="29" t="s">
        <v>81</v>
      </c>
    </row>
    <row r="62" spans="1:9" ht="18.75">
      <c r="A62" s="7"/>
    </row>
    <row r="63" spans="1:9" ht="18.75">
      <c r="A63" s="7"/>
    </row>
    <row r="64" spans="1:9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6" spans="1:1" ht="18.75">
      <c r="A76" s="7"/>
    </row>
    <row r="77" spans="1:1" ht="18.75">
      <c r="A77" s="7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1"/>
    </row>
    <row r="85" spans="1:1" ht="15.75">
      <c r="A85" s="1"/>
    </row>
    <row r="86" spans="1:1" ht="15.75">
      <c r="A86" s="2" t="s">
        <v>7</v>
      </c>
    </row>
    <row r="87" spans="1:1" ht="15.75">
      <c r="A87" s="1" t="s">
        <v>83</v>
      </c>
    </row>
    <row r="88" spans="1:1" ht="18.75">
      <c r="A88" s="31"/>
    </row>
    <row r="89" spans="1:1" ht="15.75">
      <c r="A89" s="5" t="s">
        <v>84</v>
      </c>
    </row>
    <row r="90" spans="1:1" ht="15.75">
      <c r="A90" s="5" t="s">
        <v>85</v>
      </c>
    </row>
    <row r="91" spans="1:1" ht="15.75">
      <c r="A91" s="5" t="s">
        <v>86</v>
      </c>
    </row>
    <row r="92" spans="1:1" ht="15.75">
      <c r="A92" s="4"/>
    </row>
    <row r="93" spans="1:1" ht="15.75">
      <c r="A93" s="4"/>
    </row>
    <row r="94" spans="1:1" ht="15.75">
      <c r="A94" s="4" t="s">
        <v>9</v>
      </c>
    </row>
    <row r="95" spans="1:1" ht="18.75">
      <c r="A95" s="6"/>
    </row>
    <row r="96" spans="1:1" ht="15.75">
      <c r="A96" s="4" t="s">
        <v>87</v>
      </c>
    </row>
    <row r="97" spans="1:4" ht="15.75">
      <c r="A97" s="4"/>
    </row>
    <row r="98" spans="1:4" ht="18.75">
      <c r="A98" s="7"/>
    </row>
    <row r="99" spans="1:4" ht="16.5" thickBot="1">
      <c r="A99" s="4"/>
    </row>
    <row r="100" spans="1:4" ht="47.25">
      <c r="A100" s="191" t="s">
        <v>88</v>
      </c>
      <c r="B100" s="191" t="s">
        <v>89</v>
      </c>
      <c r="C100" s="32" t="s">
        <v>14</v>
      </c>
      <c r="D100" s="191" t="s">
        <v>92</v>
      </c>
    </row>
    <row r="101" spans="1:4" ht="31.5">
      <c r="A101" s="192"/>
      <c r="B101" s="192"/>
      <c r="C101" s="33" t="s">
        <v>90</v>
      </c>
      <c r="D101" s="192"/>
    </row>
    <row r="102" spans="1:4" ht="47.25">
      <c r="A102" s="192"/>
      <c r="B102" s="192"/>
      <c r="C102" s="33" t="s">
        <v>16</v>
      </c>
      <c r="D102" s="192"/>
    </row>
    <row r="103" spans="1:4" ht="47.25">
      <c r="A103" s="192"/>
      <c r="B103" s="192"/>
      <c r="C103" s="33" t="s">
        <v>17</v>
      </c>
      <c r="D103" s="192"/>
    </row>
    <row r="104" spans="1:4" ht="32.25" thickBot="1">
      <c r="A104" s="193"/>
      <c r="B104" s="193"/>
      <c r="C104" s="34" t="s">
        <v>91</v>
      </c>
      <c r="D104" s="193"/>
    </row>
    <row r="105" spans="1:4" ht="16.5" thickBot="1">
      <c r="A105" s="84">
        <v>1</v>
      </c>
      <c r="B105" s="34">
        <v>2</v>
      </c>
      <c r="C105" s="34">
        <v>3</v>
      </c>
      <c r="D105" s="34">
        <v>4</v>
      </c>
    </row>
    <row r="106" spans="1:4" ht="16.5" thickBot="1">
      <c r="A106" s="84" t="s">
        <v>24</v>
      </c>
      <c r="B106" s="83"/>
      <c r="C106" s="83"/>
      <c r="D106" s="35"/>
    </row>
    <row r="107" spans="1:4" ht="16.5" thickBot="1">
      <c r="A107" s="84" t="s">
        <v>93</v>
      </c>
      <c r="B107" s="83"/>
      <c r="C107" s="83"/>
      <c r="D107" s="35"/>
    </row>
    <row r="108" spans="1:4" ht="16.5" thickBot="1">
      <c r="A108" s="84" t="s">
        <v>94</v>
      </c>
      <c r="B108" s="83"/>
      <c r="C108" s="34"/>
      <c r="D108" s="35"/>
    </row>
    <row r="109" spans="1:4" ht="16.5" thickBot="1">
      <c r="A109" s="84"/>
      <c r="B109" s="83" t="s">
        <v>95</v>
      </c>
      <c r="C109" s="34"/>
      <c r="D109" s="35"/>
    </row>
    <row r="110" spans="1:4" ht="15.75">
      <c r="A110" s="191" t="s">
        <v>96</v>
      </c>
      <c r="B110" s="82" t="s">
        <v>97</v>
      </c>
      <c r="C110" s="191"/>
      <c r="D110" s="194"/>
    </row>
    <row r="111" spans="1:4" ht="16.5" thickBot="1">
      <c r="A111" s="193"/>
      <c r="B111" s="83" t="s">
        <v>98</v>
      </c>
      <c r="C111" s="193"/>
      <c r="D111" s="195"/>
    </row>
    <row r="112" spans="1:4" ht="15.75">
      <c r="A112" s="3"/>
    </row>
    <row r="113" spans="1:9" ht="15.75">
      <c r="A113" s="3"/>
    </row>
    <row r="114" spans="1:9" ht="15.75">
      <c r="A114" s="3"/>
    </row>
    <row r="115" spans="1:9" ht="60.75" thickBot="1">
      <c r="A115" s="37" t="s">
        <v>99</v>
      </c>
      <c r="B115" s="25"/>
      <c r="C115" s="26"/>
      <c r="D115" s="25"/>
      <c r="E115" s="26"/>
      <c r="F115" s="25"/>
      <c r="G115" s="26"/>
      <c r="H115" s="25"/>
      <c r="I115" s="25"/>
    </row>
    <row r="116" spans="1:9">
      <c r="A116" s="27"/>
      <c r="B116" s="27"/>
      <c r="C116" s="28" t="s">
        <v>74</v>
      </c>
      <c r="D116" s="27"/>
      <c r="E116" s="28" t="s">
        <v>75</v>
      </c>
      <c r="F116" s="27"/>
      <c r="G116" s="28" t="s">
        <v>76</v>
      </c>
      <c r="H116" s="29"/>
      <c r="I116" s="29"/>
    </row>
    <row r="117" spans="1:9" ht="24.75" thickBot="1">
      <c r="A117" s="24" t="s">
        <v>77</v>
      </c>
      <c r="B117" s="25"/>
      <c r="C117" s="26"/>
      <c r="D117" s="25"/>
      <c r="E117" s="26"/>
      <c r="F117" s="25"/>
      <c r="G117" s="25"/>
      <c r="H117" s="25"/>
      <c r="I117" s="25"/>
    </row>
    <row r="118" spans="1:9">
      <c r="A118" s="29"/>
      <c r="B118" s="27"/>
      <c r="C118" s="29" t="s">
        <v>75</v>
      </c>
      <c r="D118" s="27"/>
      <c r="E118" s="29" t="s">
        <v>76</v>
      </c>
      <c r="F118" s="27"/>
      <c r="G118" s="27"/>
      <c r="H118" s="27"/>
      <c r="I118" s="27"/>
    </row>
    <row r="119" spans="1:9" ht="24.75" thickBot="1">
      <c r="A119" s="24" t="s">
        <v>79</v>
      </c>
      <c r="B119" s="25"/>
      <c r="C119" s="30"/>
      <c r="D119" s="25"/>
      <c r="E119" s="30"/>
      <c r="F119" s="25"/>
      <c r="G119" s="26"/>
      <c r="H119" s="25"/>
      <c r="I119" s="26"/>
    </row>
    <row r="120" spans="1:9">
      <c r="A120" s="29"/>
      <c r="B120" s="27"/>
      <c r="C120" s="29" t="s">
        <v>74</v>
      </c>
      <c r="D120" s="27"/>
      <c r="E120" s="29" t="s">
        <v>75</v>
      </c>
      <c r="F120" s="27"/>
      <c r="G120" s="29" t="s">
        <v>76</v>
      </c>
      <c r="H120" s="27"/>
      <c r="I120" s="29" t="s">
        <v>81</v>
      </c>
    </row>
    <row r="121" spans="1:9" ht="18.75">
      <c r="A121" s="7"/>
    </row>
    <row r="122" spans="1:9" ht="18.75">
      <c r="A122" s="7"/>
    </row>
    <row r="123" spans="1:9" ht="18.75">
      <c r="A123" s="7"/>
    </row>
    <row r="124" spans="1:9" ht="18.75">
      <c r="A124" s="7"/>
    </row>
    <row r="125" spans="1:9" ht="18.75">
      <c r="A125" s="7"/>
    </row>
  </sheetData>
  <mergeCells count="21">
    <mergeCell ref="D20:D24"/>
    <mergeCell ref="E20:F22"/>
    <mergeCell ref="G20:G24"/>
    <mergeCell ref="H20:I23"/>
    <mergeCell ref="E23:E24"/>
    <mergeCell ref="F23:F24"/>
    <mergeCell ref="G30:G31"/>
    <mergeCell ref="H30:H31"/>
    <mergeCell ref="I30:I31"/>
    <mergeCell ref="A30:A31"/>
    <mergeCell ref="B30:B31"/>
    <mergeCell ref="C30:C31"/>
    <mergeCell ref="D30:D31"/>
    <mergeCell ref="E30:E31"/>
    <mergeCell ref="F30:F31"/>
    <mergeCell ref="A100:A104"/>
    <mergeCell ref="B100:B104"/>
    <mergeCell ref="D100:D104"/>
    <mergeCell ref="A110:A111"/>
    <mergeCell ref="C110:C111"/>
    <mergeCell ref="D110:D11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125"/>
  <sheetViews>
    <sheetView topLeftCell="A64" workbookViewId="0">
      <selection activeCell="A79" sqref="A79:A85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3.5703125" customWidth="1"/>
    <col min="7" max="7" width="18.85546875" customWidth="1"/>
    <col min="8" max="8" width="23.7109375" customWidth="1"/>
    <col min="9" max="9" width="26.5703125" customWidth="1"/>
  </cols>
  <sheetData>
    <row r="2" spans="1:9" ht="21">
      <c r="H2" s="92" t="s">
        <v>116</v>
      </c>
    </row>
    <row r="3" spans="1:9" ht="15.75">
      <c r="A3" s="1"/>
      <c r="F3" s="1"/>
      <c r="G3" s="1"/>
      <c r="H3" s="1" t="s">
        <v>0</v>
      </c>
      <c r="I3" s="1"/>
    </row>
    <row r="4" spans="1:9" ht="15.75">
      <c r="A4" s="1"/>
      <c r="F4" s="1"/>
      <c r="G4" s="1"/>
      <c r="H4" s="1" t="s">
        <v>1</v>
      </c>
      <c r="I4" s="1"/>
    </row>
    <row r="5" spans="1:9" ht="15.75">
      <c r="A5" s="1"/>
      <c r="F5" s="1"/>
      <c r="G5" s="1"/>
      <c r="H5" s="1" t="s">
        <v>2</v>
      </c>
      <c r="I5" s="1"/>
    </row>
    <row r="6" spans="1:9" ht="15.75">
      <c r="A6" s="1"/>
      <c r="F6" s="1"/>
      <c r="G6" s="1"/>
      <c r="H6" s="1" t="s">
        <v>3</v>
      </c>
      <c r="I6" s="1"/>
    </row>
    <row r="7" spans="1:9" ht="15.75">
      <c r="A7" s="1"/>
      <c r="F7" s="1"/>
      <c r="G7" s="1"/>
      <c r="H7" s="1" t="s">
        <v>4</v>
      </c>
      <c r="I7" s="1"/>
    </row>
    <row r="8" spans="1:9" ht="15.75">
      <c r="A8" s="1"/>
      <c r="F8" s="1"/>
      <c r="G8" s="1"/>
      <c r="H8" s="1" t="s">
        <v>5</v>
      </c>
      <c r="I8" s="1"/>
    </row>
    <row r="9" spans="1:9" ht="15.75">
      <c r="A9" s="1"/>
      <c r="F9" s="1"/>
      <c r="G9" s="1"/>
      <c r="H9" s="1" t="s">
        <v>6</v>
      </c>
      <c r="I9" s="1"/>
    </row>
    <row r="10" spans="1:9" ht="15.75">
      <c r="A10" s="2"/>
      <c r="F10" s="2"/>
      <c r="G10" s="2"/>
      <c r="H10" s="2" t="s">
        <v>7</v>
      </c>
      <c r="I10" s="2"/>
    </row>
    <row r="11" spans="1:9" ht="15.75">
      <c r="A11" s="1"/>
      <c r="F11" s="1"/>
      <c r="G11" s="1"/>
      <c r="H11" s="1" t="s">
        <v>8</v>
      </c>
      <c r="I11" s="1"/>
    </row>
    <row r="12" spans="1:9" ht="15.75">
      <c r="A12" s="4"/>
    </row>
    <row r="13" spans="1:9" ht="18.75">
      <c r="A13" s="5"/>
      <c r="B13" s="49" t="s">
        <v>103</v>
      </c>
      <c r="C13" s="49"/>
      <c r="D13" s="49"/>
      <c r="E13" s="48"/>
    </row>
    <row r="14" spans="1:9" ht="15.75">
      <c r="B14" s="50" t="s">
        <v>100</v>
      </c>
      <c r="C14" s="51"/>
      <c r="D14" s="51"/>
      <c r="E14" s="51"/>
    </row>
    <row r="15" spans="1:9" ht="15.75">
      <c r="A15" s="4"/>
      <c r="B15" s="43"/>
      <c r="C15" s="43"/>
      <c r="D15" s="43"/>
      <c r="E15" s="43"/>
    </row>
    <row r="16" spans="1:9" ht="26.25">
      <c r="A16" s="6"/>
      <c r="B16" s="51" t="s">
        <v>117</v>
      </c>
      <c r="C16" s="43"/>
      <c r="D16" s="43"/>
      <c r="E16" s="43"/>
      <c r="H16" s="52">
        <v>2</v>
      </c>
    </row>
    <row r="17" spans="1:9" ht="15.75">
      <c r="A17" s="4"/>
      <c r="B17" s="43"/>
      <c r="C17" s="43"/>
      <c r="D17" s="43"/>
      <c r="E17" s="43"/>
    </row>
    <row r="18" spans="1:9" ht="15.75">
      <c r="A18" s="4"/>
      <c r="B18" s="4"/>
    </row>
    <row r="19" spans="1:9" ht="19.5" thickBot="1">
      <c r="A19" s="7"/>
    </row>
    <row r="20" spans="1:9" ht="47.25">
      <c r="A20" s="78" t="s">
        <v>10</v>
      </c>
      <c r="B20" s="81" t="s">
        <v>12</v>
      </c>
      <c r="C20" s="81" t="s">
        <v>14</v>
      </c>
      <c r="D20" s="179" t="s">
        <v>19</v>
      </c>
      <c r="E20" s="182" t="s">
        <v>20</v>
      </c>
      <c r="F20" s="183"/>
      <c r="G20" s="182" t="s">
        <v>21</v>
      </c>
      <c r="H20" s="196" t="s">
        <v>20</v>
      </c>
      <c r="I20" s="197"/>
    </row>
    <row r="21" spans="1:9" ht="31.5">
      <c r="A21" s="79" t="s">
        <v>11</v>
      </c>
      <c r="B21" s="82" t="s">
        <v>13</v>
      </c>
      <c r="C21" s="82" t="s">
        <v>15</v>
      </c>
      <c r="D21" s="180"/>
      <c r="E21" s="184"/>
      <c r="F21" s="185"/>
      <c r="G21" s="184"/>
      <c r="H21" s="198"/>
      <c r="I21" s="199"/>
    </row>
    <row r="22" spans="1:9" ht="48" thickBot="1">
      <c r="A22" s="8"/>
      <c r="B22" s="10"/>
      <c r="C22" s="82" t="s">
        <v>16</v>
      </c>
      <c r="D22" s="180"/>
      <c r="E22" s="186"/>
      <c r="F22" s="187"/>
      <c r="G22" s="184"/>
      <c r="H22" s="198"/>
      <c r="I22" s="199"/>
    </row>
    <row r="23" spans="1:9" ht="47.25">
      <c r="A23" s="8"/>
      <c r="B23" s="10"/>
      <c r="C23" s="82" t="s">
        <v>17</v>
      </c>
      <c r="D23" s="180"/>
      <c r="E23" s="189">
        <v>130</v>
      </c>
      <c r="F23" s="189">
        <v>180</v>
      </c>
      <c r="G23" s="184"/>
      <c r="H23" s="200"/>
      <c r="I23" s="201"/>
    </row>
    <row r="24" spans="1:9" ht="32.25" thickBot="1">
      <c r="A24" s="9"/>
      <c r="B24" s="11"/>
      <c r="C24" s="83" t="s">
        <v>18</v>
      </c>
      <c r="D24" s="181"/>
      <c r="E24" s="190"/>
      <c r="F24" s="190"/>
      <c r="G24" s="181"/>
      <c r="H24" s="53">
        <v>130</v>
      </c>
      <c r="I24" s="53">
        <v>180</v>
      </c>
    </row>
    <row r="25" spans="1:9" ht="16.5" thickBot="1">
      <c r="A25" s="80">
        <v>1</v>
      </c>
      <c r="B25" s="83">
        <v>2</v>
      </c>
      <c r="C25" s="83">
        <v>3</v>
      </c>
      <c r="D25" s="83">
        <v>4</v>
      </c>
      <c r="E25" s="83"/>
      <c r="F25" s="83"/>
      <c r="G25" s="83"/>
      <c r="H25" s="83">
        <v>5</v>
      </c>
      <c r="I25" s="83">
        <v>6</v>
      </c>
    </row>
    <row r="26" spans="1:9" ht="19.5" thickBot="1">
      <c r="A26" s="80" t="s">
        <v>24</v>
      </c>
      <c r="B26" s="83" t="s">
        <v>105</v>
      </c>
      <c r="C26" s="83" t="s">
        <v>26</v>
      </c>
      <c r="D26" s="83">
        <v>1720000</v>
      </c>
      <c r="E26" s="83">
        <v>1570000</v>
      </c>
      <c r="F26" s="83">
        <v>150000</v>
      </c>
      <c r="G26" s="53">
        <v>1720000</v>
      </c>
      <c r="H26" s="83">
        <v>1570000</v>
      </c>
      <c r="I26" s="83">
        <v>150000</v>
      </c>
    </row>
    <row r="27" spans="1:9" ht="19.5" thickBot="1">
      <c r="A27" s="80"/>
      <c r="B27" s="83" t="s">
        <v>106</v>
      </c>
      <c r="C27" s="83" t="s">
        <v>26</v>
      </c>
      <c r="D27" s="83">
        <v>7525.82</v>
      </c>
      <c r="E27" s="83">
        <v>7525.82</v>
      </c>
      <c r="F27" s="83"/>
      <c r="G27" s="53">
        <v>7525.82</v>
      </c>
      <c r="H27" s="83">
        <v>7525.82</v>
      </c>
      <c r="I27" s="83"/>
    </row>
    <row r="28" spans="1:9" ht="19.5" thickBot="1">
      <c r="A28" s="80"/>
      <c r="B28" s="83" t="s">
        <v>113</v>
      </c>
      <c r="C28" s="83"/>
      <c r="D28" s="83">
        <f>E28+F28</f>
        <v>226361.75</v>
      </c>
      <c r="E28" s="83">
        <v>226361.75</v>
      </c>
      <c r="F28" s="83"/>
      <c r="G28" s="53">
        <f>H28+I28</f>
        <v>226361.75</v>
      </c>
      <c r="H28" s="83">
        <v>226361.75</v>
      </c>
      <c r="I28" s="83"/>
    </row>
    <row r="29" spans="1:9" ht="38.25" customHeight="1" thickBot="1">
      <c r="A29" s="80" t="s">
        <v>27</v>
      </c>
      <c r="B29" s="83" t="s">
        <v>112</v>
      </c>
      <c r="C29" s="83" t="s">
        <v>29</v>
      </c>
      <c r="D29" s="83">
        <f>E29+F29</f>
        <v>233887.57</v>
      </c>
      <c r="E29" s="83">
        <f>E27+E28</f>
        <v>233887.57</v>
      </c>
      <c r="F29" s="83"/>
      <c r="G29" s="39">
        <f>G27+G28</f>
        <v>233887.57</v>
      </c>
      <c r="H29" s="39">
        <f>H27+H28</f>
        <v>233887.57</v>
      </c>
      <c r="I29" s="39"/>
    </row>
    <row r="30" spans="1:9" ht="27" customHeight="1">
      <c r="A30" s="179" t="s">
        <v>30</v>
      </c>
      <c r="B30" s="179" t="s">
        <v>102</v>
      </c>
      <c r="C30" s="179" t="s">
        <v>32</v>
      </c>
      <c r="D30" s="179">
        <f>E30+F30</f>
        <v>231078.75</v>
      </c>
      <c r="E30" s="179">
        <v>223448.75</v>
      </c>
      <c r="F30" s="179">
        <v>7630</v>
      </c>
      <c r="G30" s="179">
        <f>H30+I30</f>
        <v>819881.95</v>
      </c>
      <c r="H30" s="179">
        <f>396192.13+192611.07+223448.75</f>
        <v>812251.95</v>
      </c>
      <c r="I30" s="179">
        <v>7630</v>
      </c>
    </row>
    <row r="31" spans="1:9" ht="24" customHeight="1" thickBot="1">
      <c r="A31" s="181"/>
      <c r="B31" s="181"/>
      <c r="C31" s="181"/>
      <c r="D31" s="181"/>
      <c r="E31" s="181"/>
      <c r="F31" s="181"/>
      <c r="G31" s="180"/>
      <c r="H31" s="181"/>
      <c r="I31" s="181"/>
    </row>
    <row r="32" spans="1:9" ht="47.25" customHeight="1" thickBot="1">
      <c r="A32" s="41" t="s">
        <v>33</v>
      </c>
      <c r="B32" s="38" t="s">
        <v>34</v>
      </c>
      <c r="C32" s="38">
        <v>900</v>
      </c>
      <c r="D32" s="38">
        <f>D34+D39+D46+D49+D50</f>
        <v>183695.06</v>
      </c>
      <c r="E32" s="38">
        <f>E34+E39+E46+E49+E50</f>
        <v>183695.06</v>
      </c>
      <c r="F32" s="97">
        <f>F34+F5039+F46+F49+F50</f>
        <v>0</v>
      </c>
      <c r="G32" s="98">
        <f t="shared" ref="G32" si="0">H32+I32</f>
        <v>546136.51</v>
      </c>
      <c r="H32" s="38">
        <f>H34+H39+H46+H49+H50</f>
        <v>546136.51</v>
      </c>
      <c r="I32" s="38">
        <v>0</v>
      </c>
    </row>
    <row r="33" spans="1:9" ht="16.5" thickBot="1">
      <c r="A33" s="80"/>
      <c r="B33" s="83" t="s">
        <v>35</v>
      </c>
      <c r="C33" s="83"/>
      <c r="D33" s="83"/>
      <c r="E33" s="83"/>
      <c r="F33" s="93"/>
      <c r="G33" s="95"/>
      <c r="H33" s="83"/>
      <c r="I33" s="83"/>
    </row>
    <row r="34" spans="1:9" ht="32.25" thickBot="1">
      <c r="A34" s="80" t="s">
        <v>36</v>
      </c>
      <c r="B34" s="83" t="s">
        <v>37</v>
      </c>
      <c r="C34" s="13">
        <v>210</v>
      </c>
      <c r="D34" s="13">
        <f>D36+D37+D38</f>
        <v>5695.0599999999995</v>
      </c>
      <c r="E34" s="13">
        <f t="shared" ref="E34:F34" si="1">E36+E37+E38</f>
        <v>5695.0599999999995</v>
      </c>
      <c r="F34" s="99">
        <f t="shared" si="1"/>
        <v>0</v>
      </c>
      <c r="G34" s="100">
        <f t="shared" ref="G34" si="2">H34+I34</f>
        <v>18136.510000000002</v>
      </c>
      <c r="H34" s="13">
        <f>H36+H37+H38</f>
        <v>18136.510000000002</v>
      </c>
      <c r="I34" s="13">
        <f>I36+I37+I38</f>
        <v>0</v>
      </c>
    </row>
    <row r="35" spans="1:9" ht="16.5" thickBot="1">
      <c r="A35" s="80"/>
      <c r="B35" s="83" t="s">
        <v>38</v>
      </c>
      <c r="C35" s="83"/>
      <c r="D35" s="83"/>
      <c r="E35" s="83"/>
      <c r="F35" s="93"/>
      <c r="G35" s="95"/>
      <c r="H35" s="83"/>
      <c r="I35" s="83"/>
    </row>
    <row r="36" spans="1:9" ht="16.5" thickBot="1">
      <c r="A36" s="80" t="s">
        <v>39</v>
      </c>
      <c r="B36" s="83" t="s">
        <v>40</v>
      </c>
      <c r="C36" s="83">
        <v>211</v>
      </c>
      <c r="D36" s="83">
        <f>E36+F36</f>
        <v>4258.28</v>
      </c>
      <c r="E36" s="83">
        <v>4258.28</v>
      </c>
      <c r="F36" s="93">
        <v>0</v>
      </c>
      <c r="G36" s="95">
        <f t="shared" ref="G36" si="3">H36+I36</f>
        <v>14932.650000000001</v>
      </c>
      <c r="H36" s="83">
        <f>1192.7+9481.67+4258.28</f>
        <v>14932.650000000001</v>
      </c>
      <c r="I36" s="83"/>
    </row>
    <row r="37" spans="1:9" ht="16.5" thickBot="1">
      <c r="A37" s="80" t="s">
        <v>41</v>
      </c>
      <c r="B37" s="83" t="s">
        <v>42</v>
      </c>
      <c r="C37" s="83">
        <v>212</v>
      </c>
      <c r="D37" s="83">
        <v>0</v>
      </c>
      <c r="E37" s="83"/>
      <c r="F37" s="93">
        <v>0</v>
      </c>
      <c r="G37" s="95"/>
      <c r="H37" s="83"/>
      <c r="I37" s="83">
        <v>0</v>
      </c>
    </row>
    <row r="38" spans="1:9" ht="16.5" thickBot="1">
      <c r="A38" s="80" t="s">
        <v>43</v>
      </c>
      <c r="B38" s="83" t="s">
        <v>44</v>
      </c>
      <c r="C38" s="83">
        <v>213</v>
      </c>
      <c r="D38" s="83">
        <f>E38+F38</f>
        <v>1436.78</v>
      </c>
      <c r="E38" s="83">
        <v>1436.78</v>
      </c>
      <c r="F38" s="93">
        <v>0</v>
      </c>
      <c r="G38" s="95">
        <f t="shared" ref="G38" si="4">H38+I38</f>
        <v>3203.8599999999997</v>
      </c>
      <c r="H38" s="83">
        <f>1767.08+1436.78</f>
        <v>3203.8599999999997</v>
      </c>
      <c r="I38" s="83">
        <v>0</v>
      </c>
    </row>
    <row r="39" spans="1:9" ht="16.5" thickBot="1">
      <c r="A39" s="80" t="s">
        <v>45</v>
      </c>
      <c r="B39" s="83" t="s">
        <v>46</v>
      </c>
      <c r="C39" s="14">
        <v>220</v>
      </c>
      <c r="D39" s="14">
        <f t="shared" ref="D39:I39" si="5">D41+D42+D43+D44+D45</f>
        <v>0</v>
      </c>
      <c r="E39" s="14">
        <f t="shared" si="5"/>
        <v>0</v>
      </c>
      <c r="F39" s="96">
        <f t="shared" si="5"/>
        <v>0</v>
      </c>
      <c r="G39" s="100"/>
      <c r="H39" s="14">
        <f t="shared" si="5"/>
        <v>0</v>
      </c>
      <c r="I39" s="14">
        <f t="shared" si="5"/>
        <v>0</v>
      </c>
    </row>
    <row r="40" spans="1:9" ht="16.5" thickBot="1">
      <c r="A40" s="80"/>
      <c r="B40" s="83" t="s">
        <v>38</v>
      </c>
      <c r="C40" s="83"/>
      <c r="D40" s="83"/>
      <c r="E40" s="83"/>
      <c r="F40" s="93"/>
      <c r="G40" s="95">
        <f t="shared" ref="G40" si="6">H40+I40</f>
        <v>0</v>
      </c>
      <c r="H40" s="83"/>
      <c r="I40" s="83"/>
    </row>
    <row r="41" spans="1:9" ht="16.5" thickBot="1">
      <c r="A41" s="80" t="s">
        <v>47</v>
      </c>
      <c r="B41" s="83" t="s">
        <v>48</v>
      </c>
      <c r="C41" s="83">
        <v>221</v>
      </c>
      <c r="D41" s="83">
        <v>0</v>
      </c>
      <c r="E41" s="83"/>
      <c r="F41" s="93"/>
      <c r="G41" s="95"/>
      <c r="H41" s="83"/>
      <c r="I41" s="83"/>
    </row>
    <row r="42" spans="1:9" ht="26.25" customHeight="1" thickBot="1">
      <c r="A42" s="80" t="s">
        <v>49</v>
      </c>
      <c r="B42" s="83" t="s">
        <v>50</v>
      </c>
      <c r="C42" s="83">
        <v>222</v>
      </c>
      <c r="D42" s="83">
        <v>0</v>
      </c>
      <c r="E42" s="83"/>
      <c r="F42" s="93"/>
      <c r="G42" s="95">
        <f t="shared" ref="G42" si="7">H42+I42</f>
        <v>0</v>
      </c>
      <c r="H42" s="83"/>
      <c r="I42" s="83"/>
    </row>
    <row r="43" spans="1:9" ht="29.25" customHeight="1" thickBot="1">
      <c r="A43" s="80" t="s">
        <v>51</v>
      </c>
      <c r="B43" s="83" t="s">
        <v>52</v>
      </c>
      <c r="C43" s="83">
        <v>223</v>
      </c>
      <c r="D43" s="83">
        <v>0</v>
      </c>
      <c r="E43" s="83"/>
      <c r="F43" s="93"/>
      <c r="G43" s="95"/>
      <c r="H43" s="83"/>
      <c r="I43" s="83"/>
    </row>
    <row r="44" spans="1:9" ht="16.5" thickBot="1">
      <c r="A44" s="80" t="s">
        <v>53</v>
      </c>
      <c r="B44" s="83" t="s">
        <v>54</v>
      </c>
      <c r="C44" s="83">
        <v>225</v>
      </c>
      <c r="D44" s="83">
        <v>0</v>
      </c>
      <c r="E44" s="83"/>
      <c r="F44" s="93"/>
      <c r="G44" s="95">
        <f t="shared" ref="G44" si="8">H44+I44</f>
        <v>0</v>
      </c>
      <c r="H44" s="83"/>
      <c r="I44" s="83">
        <v>0</v>
      </c>
    </row>
    <row r="45" spans="1:9" ht="30" customHeight="1" thickBot="1">
      <c r="A45" s="80" t="s">
        <v>55</v>
      </c>
      <c r="B45" s="83" t="s">
        <v>56</v>
      </c>
      <c r="C45" s="83">
        <v>226</v>
      </c>
      <c r="D45" s="83">
        <v>0</v>
      </c>
      <c r="E45" s="83"/>
      <c r="F45" s="93"/>
      <c r="G45" s="95"/>
      <c r="H45" s="83"/>
      <c r="I45" s="83">
        <v>0</v>
      </c>
    </row>
    <row r="46" spans="1:9" ht="16.5" thickBot="1">
      <c r="A46" s="80" t="s">
        <v>57</v>
      </c>
      <c r="B46" s="83" t="s">
        <v>58</v>
      </c>
      <c r="C46" s="14">
        <v>260</v>
      </c>
      <c r="D46" s="14">
        <f t="shared" ref="D46:I46" si="9">D48</f>
        <v>0</v>
      </c>
      <c r="E46" s="14">
        <f t="shared" si="9"/>
        <v>0</v>
      </c>
      <c r="F46" s="96">
        <f t="shared" si="9"/>
        <v>0</v>
      </c>
      <c r="G46" s="100">
        <f t="shared" ref="G46" si="10">H46+I46</f>
        <v>0</v>
      </c>
      <c r="H46" s="14">
        <f t="shared" si="9"/>
        <v>0</v>
      </c>
      <c r="I46" s="14">
        <f t="shared" si="9"/>
        <v>0</v>
      </c>
    </row>
    <row r="47" spans="1:9" ht="16.5" thickBot="1">
      <c r="A47" s="80"/>
      <c r="B47" s="83" t="s">
        <v>38</v>
      </c>
      <c r="C47" s="83"/>
      <c r="D47" s="83"/>
      <c r="E47" s="83"/>
      <c r="F47" s="93"/>
      <c r="G47" s="95"/>
      <c r="H47" s="83"/>
      <c r="I47" s="83"/>
    </row>
    <row r="48" spans="1:9" ht="16.5" thickBot="1">
      <c r="A48" s="80" t="s">
        <v>59</v>
      </c>
      <c r="B48" s="83" t="s">
        <v>60</v>
      </c>
      <c r="C48" s="83">
        <v>262</v>
      </c>
      <c r="D48" s="83"/>
      <c r="E48" s="83"/>
      <c r="F48" s="93"/>
      <c r="G48" s="95">
        <f t="shared" ref="G48" si="11">H48+I48</f>
        <v>0</v>
      </c>
      <c r="H48" s="83"/>
      <c r="I48" s="83">
        <v>0</v>
      </c>
    </row>
    <row r="49" spans="1:9" ht="38.25" customHeight="1" thickBot="1">
      <c r="A49" s="80" t="s">
        <v>61</v>
      </c>
      <c r="B49" s="83" t="s">
        <v>62</v>
      </c>
      <c r="C49" s="14">
        <v>290</v>
      </c>
      <c r="D49" s="14">
        <v>0</v>
      </c>
      <c r="E49" s="14"/>
      <c r="F49" s="96">
        <v>0</v>
      </c>
      <c r="G49" s="100"/>
      <c r="H49" s="14"/>
      <c r="I49" s="14">
        <v>0</v>
      </c>
    </row>
    <row r="50" spans="1:9" ht="33" customHeight="1" thickBot="1">
      <c r="A50" s="80" t="s">
        <v>63</v>
      </c>
      <c r="B50" s="83" t="s">
        <v>64</v>
      </c>
      <c r="C50" s="14">
        <v>300</v>
      </c>
      <c r="D50" s="14">
        <f>E50+F50</f>
        <v>178000</v>
      </c>
      <c r="E50" s="14">
        <f t="shared" ref="E50:I50" si="12">E52+E53</f>
        <v>178000</v>
      </c>
      <c r="F50" s="96">
        <f t="shared" si="12"/>
        <v>0</v>
      </c>
      <c r="G50" s="101">
        <f t="shared" ref="G50" si="13">H50+I50</f>
        <v>528000</v>
      </c>
      <c r="H50" s="14">
        <f t="shared" si="12"/>
        <v>528000</v>
      </c>
      <c r="I50" s="14">
        <f t="shared" si="12"/>
        <v>0</v>
      </c>
    </row>
    <row r="51" spans="1:9" ht="16.5" thickBot="1">
      <c r="A51" s="80"/>
      <c r="B51" s="83" t="s">
        <v>38</v>
      </c>
      <c r="C51" s="83"/>
      <c r="D51" s="83"/>
      <c r="E51" s="83"/>
      <c r="F51" s="93"/>
      <c r="G51" s="102"/>
      <c r="H51" s="83"/>
      <c r="I51" s="83"/>
    </row>
    <row r="52" spans="1:9" ht="16.5" thickBot="1">
      <c r="A52" s="80" t="s">
        <v>65</v>
      </c>
      <c r="B52" s="83" t="s">
        <v>66</v>
      </c>
      <c r="C52" s="83">
        <v>310</v>
      </c>
      <c r="D52" s="83">
        <f>E52+F52</f>
        <v>0</v>
      </c>
      <c r="E52" s="83"/>
      <c r="F52" s="94">
        <v>0</v>
      </c>
      <c r="G52" s="102">
        <f>H52+I52</f>
        <v>80445</v>
      </c>
      <c r="H52" s="83">
        <v>80445</v>
      </c>
      <c r="I52" s="83"/>
    </row>
    <row r="53" spans="1:9" ht="16.5" thickBot="1">
      <c r="A53" s="80" t="s">
        <v>67</v>
      </c>
      <c r="B53" s="83" t="s">
        <v>68</v>
      </c>
      <c r="C53" s="83">
        <v>340</v>
      </c>
      <c r="D53" s="83">
        <f>E53+F53</f>
        <v>178000</v>
      </c>
      <c r="E53" s="83">
        <v>178000</v>
      </c>
      <c r="F53" s="93"/>
      <c r="G53" s="102">
        <f>H53+I53</f>
        <v>447555</v>
      </c>
      <c r="H53" s="83">
        <f>269555+178000</f>
        <v>447555</v>
      </c>
      <c r="I53" s="83"/>
    </row>
    <row r="54" spans="1:9" ht="32.25" thickBot="1">
      <c r="A54" s="15" t="s">
        <v>69</v>
      </c>
      <c r="B54" s="16" t="s">
        <v>70</v>
      </c>
      <c r="C54" s="16" t="s">
        <v>26</v>
      </c>
      <c r="D54" s="54">
        <f>D29+D30-D32</f>
        <v>281271.26</v>
      </c>
      <c r="E54" s="54">
        <f>E29+E30-E32</f>
        <v>273641.26</v>
      </c>
      <c r="F54" s="54">
        <f>F29+F30-F32</f>
        <v>7630</v>
      </c>
      <c r="G54" s="103">
        <f>G30-G32+G27</f>
        <v>281271.25999999995</v>
      </c>
      <c r="H54" s="54">
        <f>H30-H32+H27</f>
        <v>273641.25999999995</v>
      </c>
      <c r="I54" s="54">
        <f>I30-I32</f>
        <v>7630</v>
      </c>
    </row>
    <row r="55" spans="1:9" ht="18.75">
      <c r="A55" s="23"/>
    </row>
    <row r="56" spans="1:9" ht="60.75" thickBot="1">
      <c r="A56" s="24" t="s">
        <v>71</v>
      </c>
      <c r="B56" s="25"/>
      <c r="C56" s="26" t="s">
        <v>72</v>
      </c>
      <c r="D56" s="25"/>
      <c r="E56" s="26"/>
      <c r="F56" s="25"/>
      <c r="G56" s="26" t="s">
        <v>73</v>
      </c>
      <c r="H56" s="25"/>
      <c r="I56" s="25"/>
    </row>
    <row r="57" spans="1:9">
      <c r="A57" s="27"/>
      <c r="B57" s="27"/>
      <c r="C57" s="28" t="s">
        <v>74</v>
      </c>
      <c r="D57" s="27"/>
      <c r="E57" s="28" t="s">
        <v>75</v>
      </c>
      <c r="F57" s="27"/>
      <c r="G57" s="28" t="s">
        <v>76</v>
      </c>
      <c r="H57" s="29"/>
      <c r="I57" s="29"/>
    </row>
    <row r="58" spans="1:9" ht="24.75" thickBot="1">
      <c r="A58" s="24" t="s">
        <v>77</v>
      </c>
      <c r="B58" s="25"/>
      <c r="C58" s="26"/>
      <c r="D58" s="25"/>
      <c r="E58" s="26" t="s">
        <v>78</v>
      </c>
      <c r="F58" s="25"/>
      <c r="G58" s="25"/>
      <c r="H58" s="25"/>
      <c r="I58" s="25"/>
    </row>
    <row r="59" spans="1:9">
      <c r="A59" s="29"/>
      <c r="B59" s="27"/>
      <c r="C59" s="29" t="s">
        <v>75</v>
      </c>
      <c r="D59" s="27"/>
      <c r="E59" s="29" t="s">
        <v>76</v>
      </c>
      <c r="F59" s="27"/>
      <c r="G59" s="27"/>
      <c r="H59" s="27"/>
      <c r="I59" s="27"/>
    </row>
    <row r="60" spans="1:9" ht="24.75" thickBot="1">
      <c r="A60" s="24" t="s">
        <v>79</v>
      </c>
      <c r="B60" s="25"/>
      <c r="C60" s="30" t="s">
        <v>77</v>
      </c>
      <c r="D60" s="25"/>
      <c r="E60" s="30"/>
      <c r="F60" s="25"/>
      <c r="G60" s="26" t="s">
        <v>78</v>
      </c>
      <c r="H60" s="25"/>
      <c r="I60" s="26" t="s">
        <v>80</v>
      </c>
    </row>
    <row r="61" spans="1:9">
      <c r="A61" s="29"/>
      <c r="B61" s="27"/>
      <c r="C61" s="29" t="s">
        <v>74</v>
      </c>
      <c r="D61" s="27"/>
      <c r="E61" s="29" t="s">
        <v>75</v>
      </c>
      <c r="F61" s="27"/>
      <c r="G61" s="29" t="s">
        <v>76</v>
      </c>
      <c r="H61" s="27"/>
      <c r="I61" s="29" t="s">
        <v>81</v>
      </c>
    </row>
    <row r="62" spans="1:9" ht="18.75">
      <c r="A62" s="7"/>
    </row>
    <row r="63" spans="1:9" ht="18.75">
      <c r="A63" s="7"/>
    </row>
    <row r="64" spans="1:9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6" spans="1:1" ht="18.75">
      <c r="A76" s="7"/>
    </row>
    <row r="77" spans="1:1" ht="18.75">
      <c r="A77" s="7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1"/>
    </row>
    <row r="85" spans="1:1" ht="15.75">
      <c r="A85" s="1"/>
    </row>
    <row r="86" spans="1:1" ht="15.75">
      <c r="A86" s="2" t="s">
        <v>7</v>
      </c>
    </row>
    <row r="87" spans="1:1" ht="15.75">
      <c r="A87" s="1" t="s">
        <v>83</v>
      </c>
    </row>
    <row r="88" spans="1:1" ht="18.75">
      <c r="A88" s="31"/>
    </row>
    <row r="89" spans="1:1" ht="15.75">
      <c r="A89" s="5" t="s">
        <v>84</v>
      </c>
    </row>
    <row r="90" spans="1:1" ht="15.75">
      <c r="A90" s="5" t="s">
        <v>85</v>
      </c>
    </row>
    <row r="91" spans="1:1" ht="15.75">
      <c r="A91" s="5" t="s">
        <v>86</v>
      </c>
    </row>
    <row r="92" spans="1:1" ht="15.75">
      <c r="A92" s="4"/>
    </row>
    <row r="93" spans="1:1" ht="15.75">
      <c r="A93" s="4"/>
    </row>
    <row r="94" spans="1:1" ht="15.75">
      <c r="A94" s="4" t="s">
        <v>9</v>
      </c>
    </row>
    <row r="95" spans="1:1" ht="18.75">
      <c r="A95" s="6"/>
    </row>
    <row r="96" spans="1:1" ht="15.75">
      <c r="A96" s="4" t="s">
        <v>87</v>
      </c>
    </row>
    <row r="97" spans="1:4" ht="15.75">
      <c r="A97" s="4"/>
    </row>
    <row r="98" spans="1:4" ht="18.75">
      <c r="A98" s="7"/>
    </row>
    <row r="99" spans="1:4" ht="16.5" thickBot="1">
      <c r="A99" s="4"/>
    </row>
    <row r="100" spans="1:4" ht="47.25">
      <c r="A100" s="191" t="s">
        <v>88</v>
      </c>
      <c r="B100" s="191" t="s">
        <v>89</v>
      </c>
      <c r="C100" s="32" t="s">
        <v>14</v>
      </c>
      <c r="D100" s="191" t="s">
        <v>92</v>
      </c>
    </row>
    <row r="101" spans="1:4" ht="31.5">
      <c r="A101" s="192"/>
      <c r="B101" s="192"/>
      <c r="C101" s="33" t="s">
        <v>90</v>
      </c>
      <c r="D101" s="192"/>
    </row>
    <row r="102" spans="1:4" ht="47.25">
      <c r="A102" s="192"/>
      <c r="B102" s="192"/>
      <c r="C102" s="33" t="s">
        <v>16</v>
      </c>
      <c r="D102" s="192"/>
    </row>
    <row r="103" spans="1:4" ht="47.25">
      <c r="A103" s="192"/>
      <c r="B103" s="192"/>
      <c r="C103" s="33" t="s">
        <v>17</v>
      </c>
      <c r="D103" s="192"/>
    </row>
    <row r="104" spans="1:4" ht="32.25" thickBot="1">
      <c r="A104" s="193"/>
      <c r="B104" s="193"/>
      <c r="C104" s="34" t="s">
        <v>91</v>
      </c>
      <c r="D104" s="193"/>
    </row>
    <row r="105" spans="1:4" ht="16.5" thickBot="1">
      <c r="A105" s="84">
        <v>1</v>
      </c>
      <c r="B105" s="34">
        <v>2</v>
      </c>
      <c r="C105" s="34">
        <v>3</v>
      </c>
      <c r="D105" s="34">
        <v>4</v>
      </c>
    </row>
    <row r="106" spans="1:4" ht="16.5" thickBot="1">
      <c r="A106" s="84" t="s">
        <v>24</v>
      </c>
      <c r="B106" s="83"/>
      <c r="C106" s="83"/>
      <c r="D106" s="35"/>
    </row>
    <row r="107" spans="1:4" ht="16.5" thickBot="1">
      <c r="A107" s="84" t="s">
        <v>93</v>
      </c>
      <c r="B107" s="83"/>
      <c r="C107" s="83"/>
      <c r="D107" s="35"/>
    </row>
    <row r="108" spans="1:4" ht="16.5" thickBot="1">
      <c r="A108" s="84" t="s">
        <v>94</v>
      </c>
      <c r="B108" s="83"/>
      <c r="C108" s="34"/>
      <c r="D108" s="35"/>
    </row>
    <row r="109" spans="1:4" ht="16.5" thickBot="1">
      <c r="A109" s="84"/>
      <c r="B109" s="83" t="s">
        <v>95</v>
      </c>
      <c r="C109" s="34"/>
      <c r="D109" s="35"/>
    </row>
    <row r="110" spans="1:4" ht="15.75">
      <c r="A110" s="191" t="s">
        <v>96</v>
      </c>
      <c r="B110" s="82" t="s">
        <v>97</v>
      </c>
      <c r="C110" s="191"/>
      <c r="D110" s="194"/>
    </row>
    <row r="111" spans="1:4" ht="16.5" thickBot="1">
      <c r="A111" s="193"/>
      <c r="B111" s="83" t="s">
        <v>98</v>
      </c>
      <c r="C111" s="193"/>
      <c r="D111" s="195"/>
    </row>
    <row r="112" spans="1:4" ht="15.75">
      <c r="A112" s="3"/>
    </row>
    <row r="113" spans="1:9" ht="15.75">
      <c r="A113" s="3"/>
    </row>
    <row r="114" spans="1:9" ht="15.75">
      <c r="A114" s="3"/>
    </row>
    <row r="115" spans="1:9" ht="60.75" thickBot="1">
      <c r="A115" s="37" t="s">
        <v>99</v>
      </c>
      <c r="B115" s="25"/>
      <c r="C115" s="26"/>
      <c r="D115" s="25"/>
      <c r="E115" s="26"/>
      <c r="F115" s="25"/>
      <c r="G115" s="26"/>
      <c r="H115" s="25"/>
      <c r="I115" s="25"/>
    </row>
    <row r="116" spans="1:9">
      <c r="A116" s="27"/>
      <c r="B116" s="27"/>
      <c r="C116" s="28" t="s">
        <v>74</v>
      </c>
      <c r="D116" s="27"/>
      <c r="E116" s="28" t="s">
        <v>75</v>
      </c>
      <c r="F116" s="27"/>
      <c r="G116" s="28" t="s">
        <v>76</v>
      </c>
      <c r="H116" s="29"/>
      <c r="I116" s="29"/>
    </row>
    <row r="117" spans="1:9" ht="24.75" thickBot="1">
      <c r="A117" s="24" t="s">
        <v>77</v>
      </c>
      <c r="B117" s="25"/>
      <c r="C117" s="26"/>
      <c r="D117" s="25"/>
      <c r="E117" s="26"/>
      <c r="F117" s="25"/>
      <c r="G117" s="25"/>
      <c r="H117" s="25"/>
      <c r="I117" s="25"/>
    </row>
    <row r="118" spans="1:9">
      <c r="A118" s="29"/>
      <c r="B118" s="27"/>
      <c r="C118" s="29" t="s">
        <v>75</v>
      </c>
      <c r="D118" s="27"/>
      <c r="E118" s="29" t="s">
        <v>76</v>
      </c>
      <c r="F118" s="27"/>
      <c r="G118" s="27"/>
      <c r="H118" s="27"/>
      <c r="I118" s="27"/>
    </row>
    <row r="119" spans="1:9" ht="24.75" thickBot="1">
      <c r="A119" s="24" t="s">
        <v>79</v>
      </c>
      <c r="B119" s="25"/>
      <c r="C119" s="30"/>
      <c r="D119" s="25"/>
      <c r="E119" s="30"/>
      <c r="F119" s="25"/>
      <c r="G119" s="26"/>
      <c r="H119" s="25"/>
      <c r="I119" s="26"/>
    </row>
    <row r="120" spans="1:9">
      <c r="A120" s="29"/>
      <c r="B120" s="27"/>
      <c r="C120" s="29" t="s">
        <v>74</v>
      </c>
      <c r="D120" s="27"/>
      <c r="E120" s="29" t="s">
        <v>75</v>
      </c>
      <c r="F120" s="27"/>
      <c r="G120" s="29" t="s">
        <v>76</v>
      </c>
      <c r="H120" s="27"/>
      <c r="I120" s="29" t="s">
        <v>81</v>
      </c>
    </row>
    <row r="121" spans="1:9" ht="18.75">
      <c r="A121" s="7"/>
    </row>
    <row r="122" spans="1:9" ht="18.75">
      <c r="A122" s="7"/>
    </row>
    <row r="123" spans="1:9" ht="18.75">
      <c r="A123" s="7"/>
    </row>
    <row r="124" spans="1:9" ht="18.75">
      <c r="A124" s="7"/>
    </row>
    <row r="125" spans="1:9" ht="18.75">
      <c r="A125" s="7"/>
    </row>
  </sheetData>
  <mergeCells count="21">
    <mergeCell ref="D20:D24"/>
    <mergeCell ref="E20:F22"/>
    <mergeCell ref="G20:G24"/>
    <mergeCell ref="H20:I23"/>
    <mergeCell ref="E23:E24"/>
    <mergeCell ref="F23:F24"/>
    <mergeCell ref="I30:I31"/>
    <mergeCell ref="A100:A104"/>
    <mergeCell ref="B100:B104"/>
    <mergeCell ref="D100:D104"/>
    <mergeCell ref="A30:A31"/>
    <mergeCell ref="B30:B31"/>
    <mergeCell ref="C30:C31"/>
    <mergeCell ref="D30:D31"/>
    <mergeCell ref="E30:E31"/>
    <mergeCell ref="F30:F31"/>
    <mergeCell ref="A110:A111"/>
    <mergeCell ref="C110:C111"/>
    <mergeCell ref="D110:D111"/>
    <mergeCell ref="G30:G31"/>
    <mergeCell ref="H30:H3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125"/>
  <sheetViews>
    <sheetView topLeftCell="A46" workbookViewId="0">
      <selection activeCell="A79" sqref="A79:A88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3.5703125" customWidth="1"/>
    <col min="7" max="7" width="18.85546875" customWidth="1"/>
    <col min="8" max="8" width="23.7109375" customWidth="1"/>
    <col min="9" max="9" width="26.5703125" customWidth="1"/>
  </cols>
  <sheetData>
    <row r="2" spans="1:9" ht="21">
      <c r="H2" s="92" t="s">
        <v>114</v>
      </c>
    </row>
    <row r="3" spans="1:9" ht="15.75">
      <c r="A3" s="1"/>
      <c r="F3" s="1"/>
      <c r="G3" s="1"/>
      <c r="H3" s="1" t="s">
        <v>0</v>
      </c>
      <c r="I3" s="1"/>
    </row>
    <row r="4" spans="1:9" ht="15.75">
      <c r="A4" s="1"/>
      <c r="F4" s="1"/>
      <c r="G4" s="1"/>
      <c r="H4" s="1" t="s">
        <v>1</v>
      </c>
      <c r="I4" s="1"/>
    </row>
    <row r="5" spans="1:9" ht="15.75">
      <c r="A5" s="1"/>
      <c r="F5" s="1"/>
      <c r="G5" s="1"/>
      <c r="H5" s="1" t="s">
        <v>2</v>
      </c>
      <c r="I5" s="1"/>
    </row>
    <row r="6" spans="1:9" ht="15.75">
      <c r="A6" s="1"/>
      <c r="F6" s="1"/>
      <c r="G6" s="1"/>
      <c r="H6" s="1" t="s">
        <v>3</v>
      </c>
      <c r="I6" s="1"/>
    </row>
    <row r="7" spans="1:9" ht="15.75">
      <c r="A7" s="1"/>
      <c r="F7" s="1"/>
      <c r="G7" s="1"/>
      <c r="H7" s="1" t="s">
        <v>4</v>
      </c>
      <c r="I7" s="1"/>
    </row>
    <row r="8" spans="1:9" ht="15.75">
      <c r="A8" s="1"/>
      <c r="F8" s="1"/>
      <c r="G8" s="1"/>
      <c r="H8" s="1" t="s">
        <v>5</v>
      </c>
      <c r="I8" s="1"/>
    </row>
    <row r="9" spans="1:9" ht="15.75">
      <c r="A9" s="1"/>
      <c r="F9" s="1"/>
      <c r="G9" s="1"/>
      <c r="H9" s="1" t="s">
        <v>6</v>
      </c>
      <c r="I9" s="1"/>
    </row>
    <row r="10" spans="1:9" ht="15.75">
      <c r="A10" s="2"/>
      <c r="F10" s="2"/>
      <c r="G10" s="2"/>
      <c r="H10" s="2" t="s">
        <v>7</v>
      </c>
      <c r="I10" s="2"/>
    </row>
    <row r="11" spans="1:9" ht="15.75">
      <c r="A11" s="1"/>
      <c r="F11" s="1"/>
      <c r="G11" s="1"/>
      <c r="H11" s="1" t="s">
        <v>8</v>
      </c>
      <c r="I11" s="1"/>
    </row>
    <row r="12" spans="1:9" ht="15.75">
      <c r="A12" s="4"/>
    </row>
    <row r="13" spans="1:9" ht="18.75">
      <c r="A13" s="5"/>
      <c r="B13" s="49" t="s">
        <v>103</v>
      </c>
      <c r="C13" s="49"/>
      <c r="D13" s="49"/>
      <c r="E13" s="48"/>
    </row>
    <row r="14" spans="1:9" ht="15.75">
      <c r="B14" s="50" t="s">
        <v>100</v>
      </c>
      <c r="C14" s="51"/>
      <c r="D14" s="51"/>
      <c r="E14" s="51"/>
    </row>
    <row r="15" spans="1:9" ht="15.75">
      <c r="A15" s="4"/>
      <c r="B15" s="43"/>
      <c r="C15" s="43"/>
      <c r="D15" s="43"/>
      <c r="E15" s="43"/>
    </row>
    <row r="16" spans="1:9" ht="26.25">
      <c r="A16" s="6"/>
      <c r="B16" s="51" t="s">
        <v>115</v>
      </c>
      <c r="C16" s="43"/>
      <c r="D16" s="43"/>
      <c r="E16" s="43"/>
      <c r="H16" s="52">
        <v>2</v>
      </c>
    </row>
    <row r="17" spans="1:9" ht="15.75">
      <c r="A17" s="4"/>
      <c r="B17" s="43"/>
      <c r="C17" s="43"/>
      <c r="D17" s="43"/>
      <c r="E17" s="43"/>
    </row>
    <row r="18" spans="1:9" ht="15.75">
      <c r="A18" s="4"/>
      <c r="B18" s="4"/>
    </row>
    <row r="19" spans="1:9" ht="19.5" thickBot="1">
      <c r="A19" s="7"/>
    </row>
    <row r="20" spans="1:9" ht="47.25">
      <c r="A20" s="78" t="s">
        <v>10</v>
      </c>
      <c r="B20" s="81" t="s">
        <v>12</v>
      </c>
      <c r="C20" s="81" t="s">
        <v>14</v>
      </c>
      <c r="D20" s="179" t="s">
        <v>19</v>
      </c>
      <c r="E20" s="182" t="s">
        <v>20</v>
      </c>
      <c r="F20" s="183"/>
      <c r="G20" s="182" t="s">
        <v>21</v>
      </c>
      <c r="H20" s="196" t="s">
        <v>20</v>
      </c>
      <c r="I20" s="197"/>
    </row>
    <row r="21" spans="1:9" ht="31.5">
      <c r="A21" s="79" t="s">
        <v>11</v>
      </c>
      <c r="B21" s="82" t="s">
        <v>13</v>
      </c>
      <c r="C21" s="82" t="s">
        <v>15</v>
      </c>
      <c r="D21" s="180"/>
      <c r="E21" s="184"/>
      <c r="F21" s="185"/>
      <c r="G21" s="184"/>
      <c r="H21" s="198"/>
      <c r="I21" s="199"/>
    </row>
    <row r="22" spans="1:9" ht="48" thickBot="1">
      <c r="A22" s="8"/>
      <c r="B22" s="10"/>
      <c r="C22" s="82" t="s">
        <v>16</v>
      </c>
      <c r="D22" s="180"/>
      <c r="E22" s="186"/>
      <c r="F22" s="187"/>
      <c r="G22" s="184"/>
      <c r="H22" s="198"/>
      <c r="I22" s="199"/>
    </row>
    <row r="23" spans="1:9" ht="47.25">
      <c r="A23" s="8"/>
      <c r="B23" s="10"/>
      <c r="C23" s="82" t="s">
        <v>17</v>
      </c>
      <c r="D23" s="180"/>
      <c r="E23" s="189">
        <v>130</v>
      </c>
      <c r="F23" s="189">
        <v>180</v>
      </c>
      <c r="G23" s="184"/>
      <c r="H23" s="200"/>
      <c r="I23" s="201"/>
    </row>
    <row r="24" spans="1:9" ht="32.25" thickBot="1">
      <c r="A24" s="9"/>
      <c r="B24" s="11"/>
      <c r="C24" s="83" t="s">
        <v>18</v>
      </c>
      <c r="D24" s="181"/>
      <c r="E24" s="190"/>
      <c r="F24" s="190"/>
      <c r="G24" s="181"/>
      <c r="H24" s="53">
        <v>130</v>
      </c>
      <c r="I24" s="53">
        <v>180</v>
      </c>
    </row>
    <row r="25" spans="1:9" ht="16.5" thickBot="1">
      <c r="A25" s="80">
        <v>1</v>
      </c>
      <c r="B25" s="83">
        <v>2</v>
      </c>
      <c r="C25" s="83">
        <v>3</v>
      </c>
      <c r="D25" s="83">
        <v>4</v>
      </c>
      <c r="E25" s="83"/>
      <c r="F25" s="83"/>
      <c r="G25" s="83"/>
      <c r="H25" s="83">
        <v>5</v>
      </c>
      <c r="I25" s="83">
        <v>6</v>
      </c>
    </row>
    <row r="26" spans="1:9" ht="19.5" thickBot="1">
      <c r="A26" s="80" t="s">
        <v>24</v>
      </c>
      <c r="B26" s="83" t="s">
        <v>105</v>
      </c>
      <c r="C26" s="83" t="s">
        <v>26</v>
      </c>
      <c r="D26" s="83">
        <f>E26+F26</f>
        <v>1744860</v>
      </c>
      <c r="E26" s="83">
        <v>1594860</v>
      </c>
      <c r="F26" s="83">
        <v>150000</v>
      </c>
      <c r="G26" s="53">
        <f>H26+I26</f>
        <v>1744860</v>
      </c>
      <c r="H26" s="83">
        <v>1594860</v>
      </c>
      <c r="I26" s="83">
        <v>150000</v>
      </c>
    </row>
    <row r="27" spans="1:9" ht="19.5" thickBot="1">
      <c r="A27" s="80"/>
      <c r="B27" s="83" t="s">
        <v>106</v>
      </c>
      <c r="C27" s="83" t="s">
        <v>26</v>
      </c>
      <c r="D27" s="83">
        <v>7525.82</v>
      </c>
      <c r="E27" s="83">
        <v>7525.82</v>
      </c>
      <c r="F27" s="83"/>
      <c r="G27" s="53">
        <v>7525.82</v>
      </c>
      <c r="H27" s="83">
        <v>7525.82</v>
      </c>
      <c r="I27" s="83"/>
    </row>
    <row r="28" spans="1:9" ht="19.5" thickBot="1">
      <c r="A28" s="80"/>
      <c r="B28" s="83" t="s">
        <v>113</v>
      </c>
      <c r="C28" s="83"/>
      <c r="D28" s="83">
        <f>E28+F28</f>
        <v>273745.44</v>
      </c>
      <c r="E28" s="83">
        <v>266115.44</v>
      </c>
      <c r="F28" s="83">
        <v>7630</v>
      </c>
      <c r="G28" s="53">
        <f>H28+I28</f>
        <v>273745.44</v>
      </c>
      <c r="H28" s="83">
        <v>266115.44</v>
      </c>
      <c r="I28" s="83">
        <v>7630</v>
      </c>
    </row>
    <row r="29" spans="1:9" ht="38.25" customHeight="1" thickBot="1">
      <c r="A29" s="80" t="s">
        <v>27</v>
      </c>
      <c r="B29" s="83" t="s">
        <v>112</v>
      </c>
      <c r="C29" s="83" t="s">
        <v>29</v>
      </c>
      <c r="D29" s="83">
        <f>E29+F29</f>
        <v>281271.26</v>
      </c>
      <c r="E29" s="83">
        <f>E27+E28</f>
        <v>273641.26</v>
      </c>
      <c r="F29" s="83">
        <f>F28</f>
        <v>7630</v>
      </c>
      <c r="G29" s="39">
        <f>G27+G28</f>
        <v>281271.26</v>
      </c>
      <c r="H29" s="39">
        <f>H27+H28</f>
        <v>273641.26</v>
      </c>
      <c r="I29" s="39">
        <f>I28</f>
        <v>7630</v>
      </c>
    </row>
    <row r="30" spans="1:9" ht="27" customHeight="1">
      <c r="A30" s="179" t="s">
        <v>30</v>
      </c>
      <c r="B30" s="179" t="s">
        <v>102</v>
      </c>
      <c r="C30" s="179" t="s">
        <v>32</v>
      </c>
      <c r="D30" s="179">
        <f>E30+F30</f>
        <v>271443.3</v>
      </c>
      <c r="E30" s="179">
        <f>97655.8+554.5+513+3500+125840</f>
        <v>228063.3</v>
      </c>
      <c r="F30" s="179">
        <v>43380</v>
      </c>
      <c r="G30" s="179">
        <f>H30+I30</f>
        <v>1091325.25</v>
      </c>
      <c r="H30" s="179">
        <f>396192.13+192611.07+223448.75+228063.3</f>
        <v>1040315.25</v>
      </c>
      <c r="I30" s="179">
        <f>7630+43380</f>
        <v>51010</v>
      </c>
    </row>
    <row r="31" spans="1:9" ht="24" customHeight="1" thickBot="1">
      <c r="A31" s="181"/>
      <c r="B31" s="181"/>
      <c r="C31" s="181"/>
      <c r="D31" s="181"/>
      <c r="E31" s="181"/>
      <c r="F31" s="181"/>
      <c r="G31" s="180"/>
      <c r="H31" s="181"/>
      <c r="I31" s="181"/>
    </row>
    <row r="32" spans="1:9" ht="47.25" customHeight="1" thickBot="1">
      <c r="A32" s="41" t="s">
        <v>33</v>
      </c>
      <c r="B32" s="38" t="s">
        <v>34</v>
      </c>
      <c r="C32" s="38">
        <v>900</v>
      </c>
      <c r="D32" s="38">
        <f>D34+D39+D46+D49+D50</f>
        <v>229439.3</v>
      </c>
      <c r="E32" s="38">
        <f>E34+E39+E46+E49+E50</f>
        <v>229439.3</v>
      </c>
      <c r="F32" s="97">
        <f>F34+F5039+F46+F49+F50</f>
        <v>0</v>
      </c>
      <c r="G32" s="98">
        <f t="shared" ref="G32" si="0">H32+I32</f>
        <v>775575.81</v>
      </c>
      <c r="H32" s="38">
        <f>H34+H39+H46+H49+H50</f>
        <v>775575.81</v>
      </c>
      <c r="I32" s="38">
        <v>0</v>
      </c>
    </row>
    <row r="33" spans="1:9" ht="16.5" thickBot="1">
      <c r="A33" s="80"/>
      <c r="B33" s="83" t="s">
        <v>35</v>
      </c>
      <c r="C33" s="83"/>
      <c r="D33" s="83"/>
      <c r="E33" s="83"/>
      <c r="F33" s="93"/>
      <c r="G33" s="95"/>
      <c r="H33" s="83"/>
      <c r="I33" s="83"/>
    </row>
    <row r="34" spans="1:9" ht="32.25" thickBot="1">
      <c r="A34" s="80" t="s">
        <v>36</v>
      </c>
      <c r="B34" s="83" t="s">
        <v>37</v>
      </c>
      <c r="C34" s="13">
        <v>210</v>
      </c>
      <c r="D34" s="13">
        <f>D36+D37+D38</f>
        <v>4530.2999999999993</v>
      </c>
      <c r="E34" s="13">
        <f t="shared" ref="E34:F34" si="1">E36+E37+E38</f>
        <v>4530.2999999999993</v>
      </c>
      <c r="F34" s="99">
        <f t="shared" si="1"/>
        <v>0</v>
      </c>
      <c r="G34" s="100">
        <f t="shared" ref="G34" si="2">H34+I34</f>
        <v>22666.81</v>
      </c>
      <c r="H34" s="13">
        <f>H36+H37+H38</f>
        <v>22666.81</v>
      </c>
      <c r="I34" s="13">
        <f>I36+I37+I38</f>
        <v>0</v>
      </c>
    </row>
    <row r="35" spans="1:9" ht="16.5" thickBot="1">
      <c r="A35" s="80"/>
      <c r="B35" s="83" t="s">
        <v>38</v>
      </c>
      <c r="C35" s="83"/>
      <c r="D35" s="83"/>
      <c r="E35" s="83"/>
      <c r="F35" s="93"/>
      <c r="G35" s="95"/>
      <c r="H35" s="83"/>
      <c r="I35" s="83"/>
    </row>
    <row r="36" spans="1:9" ht="16.5" thickBot="1">
      <c r="A36" s="80" t="s">
        <v>39</v>
      </c>
      <c r="B36" s="83" t="s">
        <v>40</v>
      </c>
      <c r="C36" s="83">
        <v>211</v>
      </c>
      <c r="D36" s="83">
        <f>E36+F36</f>
        <v>3255.47</v>
      </c>
      <c r="E36" s="83">
        <v>3255.47</v>
      </c>
      <c r="F36" s="93">
        <v>0</v>
      </c>
      <c r="G36" s="95">
        <f t="shared" ref="G36" si="3">H36+I36</f>
        <v>18188.120000000003</v>
      </c>
      <c r="H36" s="83">
        <f>1192.7+9481.67+4258.28+3255.47</f>
        <v>18188.120000000003</v>
      </c>
      <c r="I36" s="83"/>
    </row>
    <row r="37" spans="1:9" ht="16.5" thickBot="1">
      <c r="A37" s="80" t="s">
        <v>41</v>
      </c>
      <c r="B37" s="83" t="s">
        <v>42</v>
      </c>
      <c r="C37" s="83">
        <v>212</v>
      </c>
      <c r="D37" s="83">
        <v>0</v>
      </c>
      <c r="E37" s="83"/>
      <c r="F37" s="93">
        <v>0</v>
      </c>
      <c r="G37" s="95"/>
      <c r="H37" s="83"/>
      <c r="I37" s="83">
        <v>0</v>
      </c>
    </row>
    <row r="38" spans="1:9" ht="16.5" thickBot="1">
      <c r="A38" s="80" t="s">
        <v>43</v>
      </c>
      <c r="B38" s="83" t="s">
        <v>44</v>
      </c>
      <c r="C38" s="83">
        <v>213</v>
      </c>
      <c r="D38" s="83">
        <f>E38+F38</f>
        <v>1274.83</v>
      </c>
      <c r="E38" s="83">
        <v>1274.83</v>
      </c>
      <c r="F38" s="93">
        <v>0</v>
      </c>
      <c r="G38" s="95">
        <f t="shared" ref="G38" si="4">H38+I38</f>
        <v>4478.6899999999996</v>
      </c>
      <c r="H38" s="83">
        <f>1767.08+1436.78+1274.83</f>
        <v>4478.6899999999996</v>
      </c>
      <c r="I38" s="83">
        <v>0</v>
      </c>
    </row>
    <row r="39" spans="1:9" ht="16.5" thickBot="1">
      <c r="A39" s="80" t="s">
        <v>45</v>
      </c>
      <c r="B39" s="83" t="s">
        <v>46</v>
      </c>
      <c r="C39" s="14">
        <v>220</v>
      </c>
      <c r="D39" s="14">
        <f t="shared" ref="D39:I39" si="5">D41+D42+D43+D44+D45</f>
        <v>0</v>
      </c>
      <c r="E39" s="14">
        <f t="shared" si="5"/>
        <v>0</v>
      </c>
      <c r="F39" s="96">
        <f t="shared" si="5"/>
        <v>0</v>
      </c>
      <c r="G39" s="100"/>
      <c r="H39" s="14">
        <f t="shared" si="5"/>
        <v>0</v>
      </c>
      <c r="I39" s="14">
        <f t="shared" si="5"/>
        <v>0</v>
      </c>
    </row>
    <row r="40" spans="1:9" ht="16.5" thickBot="1">
      <c r="A40" s="80"/>
      <c r="B40" s="83" t="s">
        <v>38</v>
      </c>
      <c r="C40" s="83"/>
      <c r="D40" s="83"/>
      <c r="E40" s="83"/>
      <c r="F40" s="93"/>
      <c r="G40" s="95">
        <f t="shared" ref="G40" si="6">H40+I40</f>
        <v>0</v>
      </c>
      <c r="H40" s="83"/>
      <c r="I40" s="83"/>
    </row>
    <row r="41" spans="1:9" ht="16.5" thickBot="1">
      <c r="A41" s="80" t="s">
        <v>47</v>
      </c>
      <c r="B41" s="83" t="s">
        <v>48</v>
      </c>
      <c r="C41" s="83">
        <v>221</v>
      </c>
      <c r="D41" s="83">
        <v>0</v>
      </c>
      <c r="E41" s="83"/>
      <c r="F41" s="93"/>
      <c r="G41" s="95"/>
      <c r="H41" s="83"/>
      <c r="I41" s="83"/>
    </row>
    <row r="42" spans="1:9" ht="26.25" customHeight="1" thickBot="1">
      <c r="A42" s="80" t="s">
        <v>49</v>
      </c>
      <c r="B42" s="83" t="s">
        <v>50</v>
      </c>
      <c r="C42" s="83">
        <v>222</v>
      </c>
      <c r="D42" s="83">
        <v>0</v>
      </c>
      <c r="E42" s="83"/>
      <c r="F42" s="93"/>
      <c r="G42" s="95">
        <f t="shared" ref="G42" si="7">H42+I42</f>
        <v>0</v>
      </c>
      <c r="H42" s="83"/>
      <c r="I42" s="83"/>
    </row>
    <row r="43" spans="1:9" ht="29.25" customHeight="1" thickBot="1">
      <c r="A43" s="80" t="s">
        <v>51</v>
      </c>
      <c r="B43" s="83" t="s">
        <v>52</v>
      </c>
      <c r="C43" s="83">
        <v>223</v>
      </c>
      <c r="D43" s="83">
        <v>0</v>
      </c>
      <c r="E43" s="83"/>
      <c r="F43" s="93"/>
      <c r="G43" s="95"/>
      <c r="H43" s="83"/>
      <c r="I43" s="83"/>
    </row>
    <row r="44" spans="1:9" ht="16.5" thickBot="1">
      <c r="A44" s="80" t="s">
        <v>53</v>
      </c>
      <c r="B44" s="83" t="s">
        <v>54</v>
      </c>
      <c r="C44" s="83">
        <v>225</v>
      </c>
      <c r="D44" s="83">
        <v>0</v>
      </c>
      <c r="E44" s="83"/>
      <c r="F44" s="93"/>
      <c r="G44" s="95">
        <f t="shared" ref="G44" si="8">H44+I44</f>
        <v>0</v>
      </c>
      <c r="H44" s="83"/>
      <c r="I44" s="83">
        <v>0</v>
      </c>
    </row>
    <row r="45" spans="1:9" ht="30" customHeight="1" thickBot="1">
      <c r="A45" s="80" t="s">
        <v>55</v>
      </c>
      <c r="B45" s="83" t="s">
        <v>56</v>
      </c>
      <c r="C45" s="83">
        <v>226</v>
      </c>
      <c r="D45" s="83">
        <v>0</v>
      </c>
      <c r="E45" s="83"/>
      <c r="F45" s="93"/>
      <c r="G45" s="95"/>
      <c r="H45" s="83"/>
      <c r="I45" s="83">
        <v>0</v>
      </c>
    </row>
    <row r="46" spans="1:9" ht="16.5" thickBot="1">
      <c r="A46" s="80" t="s">
        <v>57</v>
      </c>
      <c r="B46" s="83" t="s">
        <v>58</v>
      </c>
      <c r="C46" s="14">
        <v>260</v>
      </c>
      <c r="D46" s="14">
        <f t="shared" ref="D46:I46" si="9">D48</f>
        <v>0</v>
      </c>
      <c r="E46" s="14">
        <f t="shared" si="9"/>
        <v>0</v>
      </c>
      <c r="F46" s="96">
        <f t="shared" si="9"/>
        <v>0</v>
      </c>
      <c r="G46" s="100">
        <f t="shared" ref="G46" si="10">H46+I46</f>
        <v>0</v>
      </c>
      <c r="H46" s="14">
        <f t="shared" si="9"/>
        <v>0</v>
      </c>
      <c r="I46" s="14">
        <f t="shared" si="9"/>
        <v>0</v>
      </c>
    </row>
    <row r="47" spans="1:9" ht="16.5" thickBot="1">
      <c r="A47" s="80"/>
      <c r="B47" s="83" t="s">
        <v>38</v>
      </c>
      <c r="C47" s="83"/>
      <c r="D47" s="83"/>
      <c r="E47" s="83"/>
      <c r="F47" s="93"/>
      <c r="G47" s="95"/>
      <c r="H47" s="83"/>
      <c r="I47" s="83"/>
    </row>
    <row r="48" spans="1:9" ht="16.5" thickBot="1">
      <c r="A48" s="80" t="s">
        <v>59</v>
      </c>
      <c r="B48" s="83" t="s">
        <v>60</v>
      </c>
      <c r="C48" s="83">
        <v>262</v>
      </c>
      <c r="D48" s="83"/>
      <c r="E48" s="83"/>
      <c r="F48" s="93"/>
      <c r="G48" s="95">
        <f t="shared" ref="G48" si="11">H48+I48</f>
        <v>0</v>
      </c>
      <c r="H48" s="83"/>
      <c r="I48" s="83">
        <v>0</v>
      </c>
    </row>
    <row r="49" spans="1:9" ht="38.25" customHeight="1" thickBot="1">
      <c r="A49" s="80" t="s">
        <v>61</v>
      </c>
      <c r="B49" s="83" t="s">
        <v>62</v>
      </c>
      <c r="C49" s="14">
        <v>290</v>
      </c>
      <c r="D49" s="14">
        <f>E49</f>
        <v>4909</v>
      </c>
      <c r="E49" s="14">
        <v>4909</v>
      </c>
      <c r="F49" s="96">
        <v>0</v>
      </c>
      <c r="G49" s="101">
        <f>H49</f>
        <v>4909</v>
      </c>
      <c r="H49" s="14">
        <v>4909</v>
      </c>
      <c r="I49" s="14">
        <v>0</v>
      </c>
    </row>
    <row r="50" spans="1:9" ht="33" customHeight="1" thickBot="1">
      <c r="A50" s="80" t="s">
        <v>63</v>
      </c>
      <c r="B50" s="83" t="s">
        <v>64</v>
      </c>
      <c r="C50" s="14">
        <v>300</v>
      </c>
      <c r="D50" s="14">
        <f>E50+F50</f>
        <v>220000</v>
      </c>
      <c r="E50" s="14">
        <f t="shared" ref="E50:I50" si="12">E52+E53</f>
        <v>220000</v>
      </c>
      <c r="F50" s="96">
        <f t="shared" si="12"/>
        <v>0</v>
      </c>
      <c r="G50" s="101">
        <f t="shared" ref="G50" si="13">H50+I50</f>
        <v>748000</v>
      </c>
      <c r="H50" s="14">
        <f t="shared" si="12"/>
        <v>748000</v>
      </c>
      <c r="I50" s="14">
        <f t="shared" si="12"/>
        <v>0</v>
      </c>
    </row>
    <row r="51" spans="1:9" ht="16.5" thickBot="1">
      <c r="A51" s="80"/>
      <c r="B51" s="83" t="s">
        <v>38</v>
      </c>
      <c r="C51" s="83"/>
      <c r="D51" s="83"/>
      <c r="E51" s="83"/>
      <c r="F51" s="93"/>
      <c r="G51" s="102"/>
      <c r="H51" s="83"/>
      <c r="I51" s="83"/>
    </row>
    <row r="52" spans="1:9" ht="16.5" thickBot="1">
      <c r="A52" s="80" t="s">
        <v>65</v>
      </c>
      <c r="B52" s="83" t="s">
        <v>66</v>
      </c>
      <c r="C52" s="83">
        <v>310</v>
      </c>
      <c r="D52" s="83">
        <f>E52+F52</f>
        <v>0</v>
      </c>
      <c r="E52" s="83"/>
      <c r="F52" s="94">
        <v>0</v>
      </c>
      <c r="G52" s="102">
        <f>H52+I52</f>
        <v>80445</v>
      </c>
      <c r="H52" s="83">
        <v>80445</v>
      </c>
      <c r="I52" s="83"/>
    </row>
    <row r="53" spans="1:9" ht="16.5" thickBot="1">
      <c r="A53" s="80" t="s">
        <v>67</v>
      </c>
      <c r="B53" s="83" t="s">
        <v>68</v>
      </c>
      <c r="C53" s="83">
        <v>340</v>
      </c>
      <c r="D53" s="83">
        <f>E53+F53</f>
        <v>220000</v>
      </c>
      <c r="E53" s="83">
        <v>220000</v>
      </c>
      <c r="F53" s="93"/>
      <c r="G53" s="102">
        <f>H53+I53</f>
        <v>667555</v>
      </c>
      <c r="H53" s="83">
        <f>269555+178000+220000</f>
        <v>667555</v>
      </c>
      <c r="I53" s="83"/>
    </row>
    <row r="54" spans="1:9" ht="32.25" thickBot="1">
      <c r="A54" s="15" t="s">
        <v>69</v>
      </c>
      <c r="B54" s="16" t="s">
        <v>70</v>
      </c>
      <c r="C54" s="16" t="s">
        <v>26</v>
      </c>
      <c r="D54" s="54">
        <f>D29+D30-D32</f>
        <v>323275.26000000007</v>
      </c>
      <c r="E54" s="54">
        <f>E29+E30-E32</f>
        <v>272265.26</v>
      </c>
      <c r="F54" s="54">
        <f>F29+F30-F32</f>
        <v>51010</v>
      </c>
      <c r="G54" s="103">
        <f>G30-G32+G27</f>
        <v>323275.25999999995</v>
      </c>
      <c r="H54" s="54">
        <f>H30-H32+H27</f>
        <v>272265.25999999995</v>
      </c>
      <c r="I54" s="54">
        <f>I30-I32</f>
        <v>51010</v>
      </c>
    </row>
    <row r="55" spans="1:9" ht="18.75">
      <c r="A55" s="23"/>
    </row>
    <row r="56" spans="1:9" ht="60.75" thickBot="1">
      <c r="A56" s="24" t="s">
        <v>71</v>
      </c>
      <c r="B56" s="25"/>
      <c r="C56" s="26" t="s">
        <v>72</v>
      </c>
      <c r="D56" s="25"/>
      <c r="E56" s="26"/>
      <c r="F56" s="25"/>
      <c r="G56" s="26" t="s">
        <v>73</v>
      </c>
      <c r="H56" s="25"/>
      <c r="I56" s="25"/>
    </row>
    <row r="57" spans="1:9">
      <c r="A57" s="27"/>
      <c r="B57" s="27"/>
      <c r="C57" s="28" t="s">
        <v>74</v>
      </c>
      <c r="D57" s="27"/>
      <c r="E57" s="28" t="s">
        <v>75</v>
      </c>
      <c r="F57" s="27"/>
      <c r="G57" s="28" t="s">
        <v>76</v>
      </c>
      <c r="H57" s="29"/>
      <c r="I57" s="29"/>
    </row>
    <row r="58" spans="1:9" ht="24.75" thickBot="1">
      <c r="A58" s="24" t="s">
        <v>77</v>
      </c>
      <c r="B58" s="25"/>
      <c r="C58" s="26"/>
      <c r="D58" s="25"/>
      <c r="E58" s="26" t="s">
        <v>78</v>
      </c>
      <c r="F58" s="25"/>
      <c r="G58" s="25"/>
      <c r="H58" s="25"/>
      <c r="I58" s="25"/>
    </row>
    <row r="59" spans="1:9">
      <c r="A59" s="29"/>
      <c r="B59" s="27"/>
      <c r="C59" s="29" t="s">
        <v>75</v>
      </c>
      <c r="D59" s="27"/>
      <c r="E59" s="29" t="s">
        <v>76</v>
      </c>
      <c r="F59" s="27"/>
      <c r="G59" s="27"/>
      <c r="H59" s="27"/>
      <c r="I59" s="27"/>
    </row>
    <row r="60" spans="1:9" ht="24.75" thickBot="1">
      <c r="A60" s="24" t="s">
        <v>79</v>
      </c>
      <c r="B60" s="25"/>
      <c r="C60" s="30" t="s">
        <v>77</v>
      </c>
      <c r="D60" s="25"/>
      <c r="E60" s="30"/>
      <c r="F60" s="25"/>
      <c r="G60" s="26" t="s">
        <v>78</v>
      </c>
      <c r="H60" s="25"/>
      <c r="I60" s="26" t="s">
        <v>80</v>
      </c>
    </row>
    <row r="61" spans="1:9">
      <c r="A61" s="29"/>
      <c r="B61" s="27"/>
      <c r="C61" s="29" t="s">
        <v>74</v>
      </c>
      <c r="D61" s="27"/>
      <c r="E61" s="29" t="s">
        <v>75</v>
      </c>
      <c r="F61" s="27"/>
      <c r="G61" s="29" t="s">
        <v>76</v>
      </c>
      <c r="H61" s="27"/>
      <c r="I61" s="29" t="s">
        <v>81</v>
      </c>
    </row>
    <row r="62" spans="1:9" ht="18.75">
      <c r="A62" s="7"/>
    </row>
    <row r="63" spans="1:9" ht="18.75">
      <c r="A63" s="7"/>
    </row>
    <row r="64" spans="1:9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6" spans="1:1" ht="18.75">
      <c r="A76" s="7"/>
    </row>
    <row r="77" spans="1:1" ht="18.75">
      <c r="A77" s="7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1"/>
    </row>
    <row r="85" spans="1:1" ht="15.75">
      <c r="A85" s="1"/>
    </row>
    <row r="86" spans="1:1" ht="15.75">
      <c r="A86" s="2"/>
    </row>
    <row r="87" spans="1:1" ht="15.75">
      <c r="A87" s="1"/>
    </row>
    <row r="88" spans="1:1" ht="18.75">
      <c r="A88" s="31"/>
    </row>
    <row r="89" spans="1:1" ht="15.75">
      <c r="A89" s="5" t="s">
        <v>84</v>
      </c>
    </row>
    <row r="90" spans="1:1" ht="15.75">
      <c r="A90" s="5" t="s">
        <v>85</v>
      </c>
    </row>
    <row r="91" spans="1:1" ht="15.75">
      <c r="A91" s="5" t="s">
        <v>86</v>
      </c>
    </row>
    <row r="92" spans="1:1" ht="15.75">
      <c r="A92" s="4"/>
    </row>
    <row r="93" spans="1:1" ht="15.75">
      <c r="A93" s="4"/>
    </row>
    <row r="94" spans="1:1" ht="15.75">
      <c r="A94" s="4" t="s">
        <v>9</v>
      </c>
    </row>
    <row r="95" spans="1:1" ht="18.75">
      <c r="A95" s="6"/>
    </row>
    <row r="96" spans="1:1" ht="15.75">
      <c r="A96" s="4" t="s">
        <v>87</v>
      </c>
    </row>
    <row r="97" spans="1:4" ht="15.75">
      <c r="A97" s="4"/>
    </row>
    <row r="98" spans="1:4" ht="18.75">
      <c r="A98" s="7"/>
    </row>
    <row r="99" spans="1:4" ht="16.5" thickBot="1">
      <c r="A99" s="4"/>
    </row>
    <row r="100" spans="1:4" ht="47.25">
      <c r="A100" s="191" t="s">
        <v>88</v>
      </c>
      <c r="B100" s="191" t="s">
        <v>89</v>
      </c>
      <c r="C100" s="32" t="s">
        <v>14</v>
      </c>
      <c r="D100" s="191" t="s">
        <v>92</v>
      </c>
    </row>
    <row r="101" spans="1:4" ht="31.5">
      <c r="A101" s="192"/>
      <c r="B101" s="192"/>
      <c r="C101" s="33" t="s">
        <v>90</v>
      </c>
      <c r="D101" s="192"/>
    </row>
    <row r="102" spans="1:4" ht="47.25">
      <c r="A102" s="192"/>
      <c r="B102" s="192"/>
      <c r="C102" s="33" t="s">
        <v>16</v>
      </c>
      <c r="D102" s="192"/>
    </row>
    <row r="103" spans="1:4" ht="47.25">
      <c r="A103" s="192"/>
      <c r="B103" s="192"/>
      <c r="C103" s="33" t="s">
        <v>17</v>
      </c>
      <c r="D103" s="192"/>
    </row>
    <row r="104" spans="1:4" ht="32.25" thickBot="1">
      <c r="A104" s="193"/>
      <c r="B104" s="193"/>
      <c r="C104" s="34" t="s">
        <v>91</v>
      </c>
      <c r="D104" s="193"/>
    </row>
    <row r="105" spans="1:4" ht="16.5" thickBot="1">
      <c r="A105" s="84">
        <v>1</v>
      </c>
      <c r="B105" s="34">
        <v>2</v>
      </c>
      <c r="C105" s="34">
        <v>3</v>
      </c>
      <c r="D105" s="34">
        <v>4</v>
      </c>
    </row>
    <row r="106" spans="1:4" ht="16.5" thickBot="1">
      <c r="A106" s="84" t="s">
        <v>24</v>
      </c>
      <c r="B106" s="83"/>
      <c r="C106" s="83"/>
      <c r="D106" s="35"/>
    </row>
    <row r="107" spans="1:4" ht="16.5" thickBot="1">
      <c r="A107" s="84" t="s">
        <v>93</v>
      </c>
      <c r="B107" s="83"/>
      <c r="C107" s="83"/>
      <c r="D107" s="35"/>
    </row>
    <row r="108" spans="1:4" ht="16.5" thickBot="1">
      <c r="A108" s="84" t="s">
        <v>94</v>
      </c>
      <c r="B108" s="83"/>
      <c r="C108" s="34"/>
      <c r="D108" s="35"/>
    </row>
    <row r="109" spans="1:4" ht="16.5" thickBot="1">
      <c r="A109" s="84"/>
      <c r="B109" s="83" t="s">
        <v>95</v>
      </c>
      <c r="C109" s="34"/>
      <c r="D109" s="35"/>
    </row>
    <row r="110" spans="1:4" ht="15.75">
      <c r="A110" s="191" t="s">
        <v>96</v>
      </c>
      <c r="B110" s="82" t="s">
        <v>97</v>
      </c>
      <c r="C110" s="191"/>
      <c r="D110" s="194"/>
    </row>
    <row r="111" spans="1:4" ht="16.5" thickBot="1">
      <c r="A111" s="193"/>
      <c r="B111" s="83" t="s">
        <v>98</v>
      </c>
      <c r="C111" s="193"/>
      <c r="D111" s="195"/>
    </row>
    <row r="112" spans="1:4" ht="15.75">
      <c r="A112" s="3"/>
    </row>
    <row r="113" spans="1:9" ht="15.75">
      <c r="A113" s="3"/>
    </row>
    <row r="114" spans="1:9" ht="15.75">
      <c r="A114" s="3"/>
    </row>
    <row r="115" spans="1:9" ht="60.75" thickBot="1">
      <c r="A115" s="37" t="s">
        <v>99</v>
      </c>
      <c r="B115" s="25"/>
      <c r="C115" s="26"/>
      <c r="D115" s="25"/>
      <c r="E115" s="26"/>
      <c r="F115" s="25"/>
      <c r="G115" s="26"/>
      <c r="H115" s="25"/>
      <c r="I115" s="25"/>
    </row>
    <row r="116" spans="1:9">
      <c r="A116" s="27"/>
      <c r="B116" s="27"/>
      <c r="C116" s="28" t="s">
        <v>74</v>
      </c>
      <c r="D116" s="27"/>
      <c r="E116" s="28" t="s">
        <v>75</v>
      </c>
      <c r="F116" s="27"/>
      <c r="G116" s="28" t="s">
        <v>76</v>
      </c>
      <c r="H116" s="29"/>
      <c r="I116" s="29"/>
    </row>
    <row r="117" spans="1:9" ht="24.75" thickBot="1">
      <c r="A117" s="24" t="s">
        <v>77</v>
      </c>
      <c r="B117" s="25"/>
      <c r="C117" s="26"/>
      <c r="D117" s="25"/>
      <c r="E117" s="26"/>
      <c r="F117" s="25"/>
      <c r="G117" s="25"/>
      <c r="H117" s="25"/>
      <c r="I117" s="25"/>
    </row>
    <row r="118" spans="1:9">
      <c r="A118" s="29"/>
      <c r="B118" s="27"/>
      <c r="C118" s="29" t="s">
        <v>75</v>
      </c>
      <c r="D118" s="27"/>
      <c r="E118" s="29" t="s">
        <v>76</v>
      </c>
      <c r="F118" s="27"/>
      <c r="G118" s="27"/>
      <c r="H118" s="27"/>
      <c r="I118" s="27"/>
    </row>
    <row r="119" spans="1:9" ht="24.75" thickBot="1">
      <c r="A119" s="24" t="s">
        <v>79</v>
      </c>
      <c r="B119" s="25"/>
      <c r="C119" s="30"/>
      <c r="D119" s="25"/>
      <c r="E119" s="30"/>
      <c r="F119" s="25"/>
      <c r="G119" s="26"/>
      <c r="H119" s="25"/>
      <c r="I119" s="26"/>
    </row>
    <row r="120" spans="1:9">
      <c r="A120" s="29"/>
      <c r="B120" s="27"/>
      <c r="C120" s="29" t="s">
        <v>74</v>
      </c>
      <c r="D120" s="27"/>
      <c r="E120" s="29" t="s">
        <v>75</v>
      </c>
      <c r="F120" s="27"/>
      <c r="G120" s="29" t="s">
        <v>76</v>
      </c>
      <c r="H120" s="27"/>
      <c r="I120" s="29" t="s">
        <v>81</v>
      </c>
    </row>
    <row r="121" spans="1:9" ht="18.75">
      <c r="A121" s="7"/>
    </row>
    <row r="122" spans="1:9" ht="18.75">
      <c r="A122" s="7"/>
    </row>
    <row r="123" spans="1:9" ht="18.75">
      <c r="A123" s="7"/>
    </row>
    <row r="124" spans="1:9" ht="18.75">
      <c r="A124" s="7"/>
    </row>
    <row r="125" spans="1:9" ht="18.75">
      <c r="A125" s="7"/>
    </row>
  </sheetData>
  <mergeCells count="21">
    <mergeCell ref="D20:D24"/>
    <mergeCell ref="E20:F22"/>
    <mergeCell ref="G20:G24"/>
    <mergeCell ref="H20:I23"/>
    <mergeCell ref="E23:E24"/>
    <mergeCell ref="F23:F24"/>
    <mergeCell ref="I30:I31"/>
    <mergeCell ref="A100:A104"/>
    <mergeCell ref="B100:B104"/>
    <mergeCell ref="D100:D104"/>
    <mergeCell ref="A30:A31"/>
    <mergeCell ref="B30:B31"/>
    <mergeCell ref="C30:C31"/>
    <mergeCell ref="D30:D31"/>
    <mergeCell ref="E30:E31"/>
    <mergeCell ref="F30:F31"/>
    <mergeCell ref="A110:A111"/>
    <mergeCell ref="C110:C111"/>
    <mergeCell ref="D110:D111"/>
    <mergeCell ref="G30:G31"/>
    <mergeCell ref="H30:H3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125"/>
  <sheetViews>
    <sheetView topLeftCell="A43" workbookViewId="0">
      <selection activeCell="A78" sqref="A78:A87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5.42578125" customWidth="1"/>
    <col min="6" max="6" width="13.5703125" customWidth="1"/>
    <col min="7" max="7" width="18.85546875" customWidth="1"/>
    <col min="8" max="8" width="23.7109375" customWidth="1"/>
    <col min="9" max="9" width="26.5703125" customWidth="1"/>
  </cols>
  <sheetData>
    <row r="2" spans="1:9" ht="21">
      <c r="H2" s="92" t="s">
        <v>122</v>
      </c>
    </row>
    <row r="3" spans="1:9" ht="15.75">
      <c r="A3" s="1"/>
      <c r="F3" s="1"/>
      <c r="G3" s="1"/>
      <c r="H3" s="1" t="s">
        <v>0</v>
      </c>
      <c r="I3" s="1"/>
    </row>
    <row r="4" spans="1:9" ht="15.75">
      <c r="A4" s="1"/>
      <c r="F4" s="1"/>
      <c r="G4" s="1"/>
      <c r="H4" s="1" t="s">
        <v>1</v>
      </c>
      <c r="I4" s="1"/>
    </row>
    <row r="5" spans="1:9" ht="15.75">
      <c r="A5" s="1"/>
      <c r="F5" s="1"/>
      <c r="G5" s="1"/>
      <c r="H5" s="1" t="s">
        <v>2</v>
      </c>
      <c r="I5" s="1"/>
    </row>
    <row r="6" spans="1:9" ht="15.75">
      <c r="A6" s="1"/>
      <c r="F6" s="1"/>
      <c r="G6" s="1"/>
      <c r="H6" s="1" t="s">
        <v>3</v>
      </c>
      <c r="I6" s="1"/>
    </row>
    <row r="7" spans="1:9" ht="15.75">
      <c r="A7" s="1"/>
      <c r="F7" s="1"/>
      <c r="G7" s="1"/>
      <c r="H7" s="1" t="s">
        <v>4</v>
      </c>
      <c r="I7" s="1"/>
    </row>
    <row r="8" spans="1:9" ht="15.75">
      <c r="A8" s="1"/>
      <c r="F8" s="1"/>
      <c r="G8" s="1"/>
      <c r="H8" s="1" t="s">
        <v>5</v>
      </c>
      <c r="I8" s="1"/>
    </row>
    <row r="9" spans="1:9" ht="15.75">
      <c r="A9" s="1"/>
      <c r="F9" s="1"/>
      <c r="G9" s="1"/>
      <c r="H9" s="1" t="s">
        <v>6</v>
      </c>
      <c r="I9" s="1"/>
    </row>
    <row r="10" spans="1:9" ht="15.75">
      <c r="A10" s="2"/>
      <c r="F10" s="2"/>
      <c r="G10" s="2"/>
      <c r="H10" s="2" t="s">
        <v>7</v>
      </c>
      <c r="I10" s="2"/>
    </row>
    <row r="11" spans="1:9" ht="15.75">
      <c r="A11" s="1"/>
      <c r="F11" s="1"/>
      <c r="G11" s="1"/>
      <c r="H11" s="1" t="s">
        <v>8</v>
      </c>
      <c r="I11" s="1"/>
    </row>
    <row r="12" spans="1:9" ht="15.75">
      <c r="A12" s="4"/>
    </row>
    <row r="13" spans="1:9" ht="18.75">
      <c r="A13" s="5"/>
      <c r="B13" s="49" t="s">
        <v>103</v>
      </c>
      <c r="C13" s="49"/>
      <c r="D13" s="49"/>
      <c r="E13" s="48"/>
    </row>
    <row r="14" spans="1:9" ht="15.75">
      <c r="B14" s="50" t="s">
        <v>100</v>
      </c>
      <c r="C14" s="51"/>
      <c r="D14" s="51"/>
      <c r="E14" s="51"/>
    </row>
    <row r="15" spans="1:9" ht="15.75">
      <c r="A15" s="4"/>
      <c r="B15" s="43"/>
      <c r="C15" s="43"/>
      <c r="D15" s="43"/>
      <c r="E15" s="43"/>
    </row>
    <row r="16" spans="1:9" ht="26.25">
      <c r="A16" s="6"/>
      <c r="B16" s="51" t="s">
        <v>123</v>
      </c>
      <c r="C16" s="43"/>
      <c r="D16" s="43"/>
      <c r="E16" s="43"/>
      <c r="H16" s="52">
        <v>2</v>
      </c>
    </row>
    <row r="17" spans="1:9" ht="15.75">
      <c r="A17" s="4"/>
      <c r="B17" s="43"/>
      <c r="C17" s="43"/>
      <c r="D17" s="43"/>
      <c r="E17" s="43"/>
    </row>
    <row r="18" spans="1:9" ht="15.75">
      <c r="A18" s="4"/>
      <c r="B18" s="4"/>
    </row>
    <row r="19" spans="1:9" ht="19.5" thickBot="1">
      <c r="A19" s="7"/>
    </row>
    <row r="20" spans="1:9" ht="47.25">
      <c r="A20" s="86" t="s">
        <v>10</v>
      </c>
      <c r="B20" s="89" t="s">
        <v>12</v>
      </c>
      <c r="C20" s="89" t="s">
        <v>14</v>
      </c>
      <c r="D20" s="179" t="s">
        <v>19</v>
      </c>
      <c r="E20" s="182" t="s">
        <v>20</v>
      </c>
      <c r="F20" s="183"/>
      <c r="G20" s="182" t="s">
        <v>21</v>
      </c>
      <c r="H20" s="196" t="s">
        <v>20</v>
      </c>
      <c r="I20" s="197"/>
    </row>
    <row r="21" spans="1:9" ht="31.5">
      <c r="A21" s="88" t="s">
        <v>11</v>
      </c>
      <c r="B21" s="90" t="s">
        <v>13</v>
      </c>
      <c r="C21" s="90" t="s">
        <v>15</v>
      </c>
      <c r="D21" s="180"/>
      <c r="E21" s="184"/>
      <c r="F21" s="185"/>
      <c r="G21" s="184"/>
      <c r="H21" s="198"/>
      <c r="I21" s="199"/>
    </row>
    <row r="22" spans="1:9" ht="48" thickBot="1">
      <c r="A22" s="8"/>
      <c r="B22" s="10"/>
      <c r="C22" s="90" t="s">
        <v>16</v>
      </c>
      <c r="D22" s="180"/>
      <c r="E22" s="186"/>
      <c r="F22" s="187"/>
      <c r="G22" s="184"/>
      <c r="H22" s="198"/>
      <c r="I22" s="199"/>
    </row>
    <row r="23" spans="1:9" ht="47.25">
      <c r="A23" s="8"/>
      <c r="B23" s="10"/>
      <c r="C23" s="90" t="s">
        <v>17</v>
      </c>
      <c r="D23" s="180"/>
      <c r="E23" s="189">
        <v>130</v>
      </c>
      <c r="F23" s="189">
        <v>180</v>
      </c>
      <c r="G23" s="184"/>
      <c r="H23" s="200"/>
      <c r="I23" s="201"/>
    </row>
    <row r="24" spans="1:9" ht="32.25" thickBot="1">
      <c r="A24" s="9"/>
      <c r="B24" s="11"/>
      <c r="C24" s="91" t="s">
        <v>18</v>
      </c>
      <c r="D24" s="181"/>
      <c r="E24" s="190"/>
      <c r="F24" s="190"/>
      <c r="G24" s="181"/>
      <c r="H24" s="53">
        <v>130</v>
      </c>
      <c r="I24" s="53">
        <v>180</v>
      </c>
    </row>
    <row r="25" spans="1:9" ht="16.5" thickBot="1">
      <c r="A25" s="87">
        <v>1</v>
      </c>
      <c r="B25" s="91">
        <v>2</v>
      </c>
      <c r="C25" s="91">
        <v>3</v>
      </c>
      <c r="D25" s="91">
        <v>4</v>
      </c>
      <c r="E25" s="91"/>
      <c r="F25" s="91"/>
      <c r="G25" s="91"/>
      <c r="H25" s="91">
        <v>5</v>
      </c>
      <c r="I25" s="91">
        <v>6</v>
      </c>
    </row>
    <row r="26" spans="1:9" ht="19.5" thickBot="1">
      <c r="A26" s="87" t="s">
        <v>24</v>
      </c>
      <c r="B26" s="91" t="s">
        <v>105</v>
      </c>
      <c r="C26" s="91" t="s">
        <v>26</v>
      </c>
      <c r="D26" s="91">
        <f>E26+F26</f>
        <v>1744860</v>
      </c>
      <c r="E26" s="91">
        <v>1594860</v>
      </c>
      <c r="F26" s="91">
        <v>150000</v>
      </c>
      <c r="G26" s="53">
        <v>1744860</v>
      </c>
      <c r="H26" s="91">
        <v>1594860</v>
      </c>
      <c r="I26" s="91">
        <v>150000</v>
      </c>
    </row>
    <row r="27" spans="1:9" ht="19.5" thickBot="1">
      <c r="A27" s="87"/>
      <c r="B27" s="91" t="s">
        <v>106</v>
      </c>
      <c r="C27" s="91" t="s">
        <v>26</v>
      </c>
      <c r="D27" s="91">
        <v>7525.82</v>
      </c>
      <c r="E27" s="91">
        <v>7525.82</v>
      </c>
      <c r="F27" s="91"/>
      <c r="G27" s="53">
        <v>7525.82</v>
      </c>
      <c r="H27" s="91">
        <v>7525.82</v>
      </c>
      <c r="I27" s="91"/>
    </row>
    <row r="28" spans="1:9" ht="19.5" thickBot="1">
      <c r="A28" s="87"/>
      <c r="B28" s="91" t="s">
        <v>113</v>
      </c>
      <c r="C28" s="91"/>
      <c r="D28" s="91">
        <f>E28+F28</f>
        <v>315749.44</v>
      </c>
      <c r="E28" s="91">
        <v>264739.44</v>
      </c>
      <c r="F28" s="91">
        <v>51010</v>
      </c>
      <c r="G28" s="53">
        <f>H28+I28</f>
        <v>315749.44</v>
      </c>
      <c r="H28" s="91">
        <v>264739.44</v>
      </c>
      <c r="I28" s="91">
        <v>51010</v>
      </c>
    </row>
    <row r="29" spans="1:9" ht="38.25" customHeight="1" thickBot="1">
      <c r="A29" s="87" t="s">
        <v>27</v>
      </c>
      <c r="B29" s="91" t="s">
        <v>112</v>
      </c>
      <c r="C29" s="91" t="s">
        <v>29</v>
      </c>
      <c r="D29" s="91">
        <f>E29+F29</f>
        <v>323275.26</v>
      </c>
      <c r="E29" s="91">
        <f>E27+E28</f>
        <v>272265.26</v>
      </c>
      <c r="F29" s="91">
        <f>F28</f>
        <v>51010</v>
      </c>
      <c r="G29" s="39">
        <f>G27+G28</f>
        <v>323275.26</v>
      </c>
      <c r="H29" s="39">
        <f>H27+H28</f>
        <v>272265.26</v>
      </c>
      <c r="I29" s="39">
        <f>I28</f>
        <v>51010</v>
      </c>
    </row>
    <row r="30" spans="1:9" ht="27" customHeight="1">
      <c r="A30" s="179" t="s">
        <v>30</v>
      </c>
      <c r="B30" s="179" t="s">
        <v>102</v>
      </c>
      <c r="C30" s="179" t="s">
        <v>32</v>
      </c>
      <c r="D30" s="179">
        <f>E30+F30</f>
        <v>12689.92</v>
      </c>
      <c r="E30" s="179">
        <v>12689.92</v>
      </c>
      <c r="F30" s="179"/>
      <c r="G30" s="179">
        <f>H30+I30</f>
        <v>1104015.17</v>
      </c>
      <c r="H30" s="179">
        <f>396192.13+192611.07+223448.75+228063.3+12689.92</f>
        <v>1053005.17</v>
      </c>
      <c r="I30" s="179">
        <f>7630+43380</f>
        <v>51010</v>
      </c>
    </row>
    <row r="31" spans="1:9" ht="24" customHeight="1" thickBot="1">
      <c r="A31" s="181"/>
      <c r="B31" s="181"/>
      <c r="C31" s="181"/>
      <c r="D31" s="181"/>
      <c r="E31" s="181"/>
      <c r="F31" s="181"/>
      <c r="G31" s="180"/>
      <c r="H31" s="181"/>
      <c r="I31" s="181"/>
    </row>
    <row r="32" spans="1:9" ht="47.25" customHeight="1" thickBot="1">
      <c r="A32" s="41" t="s">
        <v>33</v>
      </c>
      <c r="B32" s="38" t="s">
        <v>34</v>
      </c>
      <c r="C32" s="38">
        <v>900</v>
      </c>
      <c r="D32" s="38">
        <f>D34+D39+D46+D49+D50</f>
        <v>239942.86</v>
      </c>
      <c r="E32" s="38">
        <f>E34+E39+E46+E49+E50</f>
        <v>223046.36</v>
      </c>
      <c r="F32" s="97">
        <f>F34+F5039+F46+F49+F50</f>
        <v>16896.5</v>
      </c>
      <c r="G32" s="98">
        <f t="shared" ref="G32" si="0">H32+I32</f>
        <v>1015518.67</v>
      </c>
      <c r="H32" s="38">
        <f>H34+H39+H46+H49+H50</f>
        <v>998622.17</v>
      </c>
      <c r="I32" s="38">
        <f>I34+I39+I46+I49+I50</f>
        <v>16896.5</v>
      </c>
    </row>
    <row r="33" spans="1:9" ht="16.5" thickBot="1">
      <c r="A33" s="87"/>
      <c r="B33" s="91" t="s">
        <v>35</v>
      </c>
      <c r="C33" s="91"/>
      <c r="D33" s="91"/>
      <c r="E33" s="91"/>
      <c r="F33" s="93"/>
      <c r="G33" s="95"/>
      <c r="H33" s="91"/>
      <c r="I33" s="91"/>
    </row>
    <row r="34" spans="1:9" ht="32.25" thickBot="1">
      <c r="A34" s="87" t="s">
        <v>36</v>
      </c>
      <c r="B34" s="91" t="s">
        <v>37</v>
      </c>
      <c r="C34" s="13">
        <v>210</v>
      </c>
      <c r="D34" s="13">
        <f>D36+D37+D38</f>
        <v>1313.3600000000001</v>
      </c>
      <c r="E34" s="13">
        <f t="shared" ref="E34:F34" si="1">E36+E37+E38</f>
        <v>1313.3600000000001</v>
      </c>
      <c r="F34" s="99">
        <f t="shared" si="1"/>
        <v>0</v>
      </c>
      <c r="G34" s="100">
        <f t="shared" ref="G34" si="2">H34+I34</f>
        <v>23980.170000000002</v>
      </c>
      <c r="H34" s="13">
        <f>H36+H37+H38</f>
        <v>23980.170000000002</v>
      </c>
      <c r="I34" s="13">
        <f>I36+I37+I38</f>
        <v>0</v>
      </c>
    </row>
    <row r="35" spans="1:9" ht="16.5" thickBot="1">
      <c r="A35" s="87"/>
      <c r="B35" s="91" t="s">
        <v>38</v>
      </c>
      <c r="C35" s="91"/>
      <c r="D35" s="91"/>
      <c r="E35" s="91"/>
      <c r="F35" s="93"/>
      <c r="G35" s="95"/>
      <c r="H35" s="91"/>
      <c r="I35" s="91"/>
    </row>
    <row r="36" spans="1:9" ht="16.5" thickBot="1">
      <c r="A36" s="87" t="s">
        <v>39</v>
      </c>
      <c r="B36" s="91" t="s">
        <v>40</v>
      </c>
      <c r="C36" s="91">
        <v>211</v>
      </c>
      <c r="D36" s="91">
        <f>E36+F36</f>
        <v>374</v>
      </c>
      <c r="E36" s="91">
        <v>374</v>
      </c>
      <c r="F36" s="93"/>
      <c r="G36" s="95">
        <f t="shared" ref="G36" si="3">H36+I36</f>
        <v>18562.120000000003</v>
      </c>
      <c r="H36" s="91">
        <f>1192.7+9481.67+4258.28+3255.47+374</f>
        <v>18562.120000000003</v>
      </c>
      <c r="I36" s="91"/>
    </row>
    <row r="37" spans="1:9" ht="16.5" thickBot="1">
      <c r="A37" s="87" t="s">
        <v>41</v>
      </c>
      <c r="B37" s="91" t="s">
        <v>42</v>
      </c>
      <c r="C37" s="91">
        <v>212</v>
      </c>
      <c r="D37" s="91">
        <v>0</v>
      </c>
      <c r="E37" s="91"/>
      <c r="F37" s="93"/>
      <c r="G37" s="95"/>
      <c r="H37" s="91"/>
      <c r="I37" s="91">
        <v>0</v>
      </c>
    </row>
    <row r="38" spans="1:9" ht="16.5" thickBot="1">
      <c r="A38" s="87" t="s">
        <v>43</v>
      </c>
      <c r="B38" s="91" t="s">
        <v>44</v>
      </c>
      <c r="C38" s="91">
        <v>213</v>
      </c>
      <c r="D38" s="91">
        <f>E38+F38</f>
        <v>939.36</v>
      </c>
      <c r="E38" s="91">
        <v>939.36</v>
      </c>
      <c r="F38" s="93"/>
      <c r="G38" s="95">
        <f t="shared" ref="G38" si="4">H38+I38</f>
        <v>5418.0499999999993</v>
      </c>
      <c r="H38" s="91">
        <f>1767.08+1436.78+1274.83+939.36</f>
        <v>5418.0499999999993</v>
      </c>
      <c r="I38" s="91">
        <v>0</v>
      </c>
    </row>
    <row r="39" spans="1:9" ht="16.5" thickBot="1">
      <c r="A39" s="87" t="s">
        <v>45</v>
      </c>
      <c r="B39" s="91" t="s">
        <v>46</v>
      </c>
      <c r="C39" s="14">
        <v>220</v>
      </c>
      <c r="D39" s="14">
        <f t="shared" ref="D39:I39" si="5">D41+D42+D43+D44+D45</f>
        <v>0</v>
      </c>
      <c r="E39" s="14">
        <f t="shared" si="5"/>
        <v>0</v>
      </c>
      <c r="F39" s="96">
        <f t="shared" si="5"/>
        <v>0</v>
      </c>
      <c r="G39" s="100"/>
      <c r="H39" s="14">
        <f t="shared" si="5"/>
        <v>0</v>
      </c>
      <c r="I39" s="14">
        <f t="shared" si="5"/>
        <v>0</v>
      </c>
    </row>
    <row r="40" spans="1:9" ht="16.5" thickBot="1">
      <c r="A40" s="87"/>
      <c r="B40" s="91" t="s">
        <v>38</v>
      </c>
      <c r="C40" s="91"/>
      <c r="D40" s="91"/>
      <c r="E40" s="91"/>
      <c r="F40" s="93"/>
      <c r="G40" s="95">
        <f t="shared" ref="G40" si="6">H40+I40</f>
        <v>0</v>
      </c>
      <c r="H40" s="91"/>
      <c r="I40" s="91"/>
    </row>
    <row r="41" spans="1:9" ht="16.5" thickBot="1">
      <c r="A41" s="87" t="s">
        <v>47</v>
      </c>
      <c r="B41" s="91" t="s">
        <v>48</v>
      </c>
      <c r="C41" s="91">
        <v>221</v>
      </c>
      <c r="D41" s="91">
        <v>0</v>
      </c>
      <c r="E41" s="91"/>
      <c r="F41" s="93"/>
      <c r="G41" s="95"/>
      <c r="H41" s="91"/>
      <c r="I41" s="91"/>
    </row>
    <row r="42" spans="1:9" ht="26.25" customHeight="1" thickBot="1">
      <c r="A42" s="87" t="s">
        <v>49</v>
      </c>
      <c r="B42" s="91" t="s">
        <v>50</v>
      </c>
      <c r="C42" s="91">
        <v>222</v>
      </c>
      <c r="D42" s="91">
        <v>0</v>
      </c>
      <c r="E42" s="91"/>
      <c r="F42" s="93"/>
      <c r="G42" s="95">
        <f t="shared" ref="G42" si="7">H42+I42</f>
        <v>0</v>
      </c>
      <c r="H42" s="91"/>
      <c r="I42" s="91"/>
    </row>
    <row r="43" spans="1:9" ht="29.25" customHeight="1" thickBot="1">
      <c r="A43" s="87" t="s">
        <v>51</v>
      </c>
      <c r="B43" s="91" t="s">
        <v>52</v>
      </c>
      <c r="C43" s="91">
        <v>223</v>
      </c>
      <c r="D43" s="91">
        <v>0</v>
      </c>
      <c r="E43" s="91"/>
      <c r="F43" s="93"/>
      <c r="G43" s="95"/>
      <c r="H43" s="91"/>
      <c r="I43" s="91"/>
    </row>
    <row r="44" spans="1:9" ht="16.5" thickBot="1">
      <c r="A44" s="87" t="s">
        <v>53</v>
      </c>
      <c r="B44" s="91" t="s">
        <v>54</v>
      </c>
      <c r="C44" s="91">
        <v>225</v>
      </c>
      <c r="D44" s="91">
        <v>0</v>
      </c>
      <c r="E44" s="91"/>
      <c r="F44" s="93"/>
      <c r="G44" s="95">
        <f t="shared" ref="G44" si="8">H44+I44</f>
        <v>0</v>
      </c>
      <c r="H44" s="91"/>
      <c r="I44" s="91">
        <v>0</v>
      </c>
    </row>
    <row r="45" spans="1:9" ht="30" customHeight="1" thickBot="1">
      <c r="A45" s="87" t="s">
        <v>55</v>
      </c>
      <c r="B45" s="91" t="s">
        <v>56</v>
      </c>
      <c r="C45" s="91">
        <v>226</v>
      </c>
      <c r="D45" s="91">
        <v>0</v>
      </c>
      <c r="E45" s="91"/>
      <c r="F45" s="93"/>
      <c r="G45" s="95"/>
      <c r="H45" s="91"/>
      <c r="I45" s="91">
        <v>0</v>
      </c>
    </row>
    <row r="46" spans="1:9" ht="16.5" thickBot="1">
      <c r="A46" s="87" t="s">
        <v>57</v>
      </c>
      <c r="B46" s="91" t="s">
        <v>58</v>
      </c>
      <c r="C46" s="14">
        <v>260</v>
      </c>
      <c r="D46" s="14">
        <f t="shared" ref="D46:I46" si="9">D48</f>
        <v>0</v>
      </c>
      <c r="E46" s="14">
        <f t="shared" si="9"/>
        <v>0</v>
      </c>
      <c r="F46" s="96">
        <f t="shared" si="9"/>
        <v>0</v>
      </c>
      <c r="G46" s="100">
        <f t="shared" ref="G46" si="10">H46+I46</f>
        <v>0</v>
      </c>
      <c r="H46" s="14">
        <f t="shared" si="9"/>
        <v>0</v>
      </c>
      <c r="I46" s="14">
        <f t="shared" si="9"/>
        <v>0</v>
      </c>
    </row>
    <row r="47" spans="1:9" ht="16.5" thickBot="1">
      <c r="A47" s="87"/>
      <c r="B47" s="91" t="s">
        <v>38</v>
      </c>
      <c r="C47" s="91"/>
      <c r="D47" s="91"/>
      <c r="E47" s="91"/>
      <c r="F47" s="93"/>
      <c r="G47" s="95"/>
      <c r="H47" s="91"/>
      <c r="I47" s="91"/>
    </row>
    <row r="48" spans="1:9" ht="16.5" thickBot="1">
      <c r="A48" s="87" t="s">
        <v>59</v>
      </c>
      <c r="B48" s="91" t="s">
        <v>60</v>
      </c>
      <c r="C48" s="91">
        <v>262</v>
      </c>
      <c r="D48" s="91"/>
      <c r="E48" s="91"/>
      <c r="F48" s="93"/>
      <c r="G48" s="95">
        <f t="shared" ref="G48" si="11">H48+I48</f>
        <v>0</v>
      </c>
      <c r="H48" s="91"/>
      <c r="I48" s="91">
        <v>0</v>
      </c>
    </row>
    <row r="49" spans="1:9" ht="38.25" customHeight="1" thickBot="1">
      <c r="A49" s="87" t="s">
        <v>61</v>
      </c>
      <c r="B49" s="91" t="s">
        <v>62</v>
      </c>
      <c r="C49" s="14">
        <v>290</v>
      </c>
      <c r="D49" s="14">
        <f>E49</f>
        <v>0</v>
      </c>
      <c r="E49" s="14"/>
      <c r="F49" s="96">
        <v>0</v>
      </c>
      <c r="G49" s="101">
        <f>H49</f>
        <v>4909</v>
      </c>
      <c r="H49" s="14">
        <v>4909</v>
      </c>
      <c r="I49" s="14">
        <v>0</v>
      </c>
    </row>
    <row r="50" spans="1:9" ht="33" customHeight="1" thickBot="1">
      <c r="A50" s="87" t="s">
        <v>63</v>
      </c>
      <c r="B50" s="91" t="s">
        <v>64</v>
      </c>
      <c r="C50" s="14">
        <v>300</v>
      </c>
      <c r="D50" s="14">
        <f>E50+F50</f>
        <v>238629.5</v>
      </c>
      <c r="E50" s="14">
        <f t="shared" ref="E50:I50" si="12">E52+E53</f>
        <v>221733</v>
      </c>
      <c r="F50" s="96">
        <f t="shared" si="12"/>
        <v>16896.5</v>
      </c>
      <c r="G50" s="101">
        <f t="shared" ref="G50" si="13">H50+I50</f>
        <v>986629.5</v>
      </c>
      <c r="H50" s="14">
        <f t="shared" si="12"/>
        <v>969733</v>
      </c>
      <c r="I50" s="14">
        <f t="shared" si="12"/>
        <v>16896.5</v>
      </c>
    </row>
    <row r="51" spans="1:9" ht="16.5" thickBot="1">
      <c r="A51" s="87"/>
      <c r="B51" s="91" t="s">
        <v>38</v>
      </c>
      <c r="C51" s="91"/>
      <c r="D51" s="91"/>
      <c r="E51" s="91"/>
      <c r="F51" s="93"/>
      <c r="G51" s="102"/>
      <c r="H51" s="91"/>
      <c r="I51" s="91"/>
    </row>
    <row r="52" spans="1:9" ht="16.5" thickBot="1">
      <c r="A52" s="87" t="s">
        <v>65</v>
      </c>
      <c r="B52" s="91" t="s">
        <v>66</v>
      </c>
      <c r="C52" s="91">
        <v>310</v>
      </c>
      <c r="D52" s="91">
        <f>E52+F52</f>
        <v>2733</v>
      </c>
      <c r="E52" s="91">
        <v>2733</v>
      </c>
      <c r="F52" s="94">
        <v>0</v>
      </c>
      <c r="G52" s="102">
        <f>H52+I52</f>
        <v>83178</v>
      </c>
      <c r="H52" s="91">
        <f>80445+2733</f>
        <v>83178</v>
      </c>
      <c r="I52" s="91"/>
    </row>
    <row r="53" spans="1:9" ht="16.5" thickBot="1">
      <c r="A53" s="87" t="s">
        <v>67</v>
      </c>
      <c r="B53" s="91" t="s">
        <v>68</v>
      </c>
      <c r="C53" s="91">
        <v>340</v>
      </c>
      <c r="D53" s="91">
        <f>E53+F53</f>
        <v>235896.5</v>
      </c>
      <c r="E53" s="91">
        <v>219000</v>
      </c>
      <c r="F53" s="93">
        <v>16896.5</v>
      </c>
      <c r="G53" s="102">
        <f>H53+I53</f>
        <v>903451.5</v>
      </c>
      <c r="H53" s="91">
        <v>886555</v>
      </c>
      <c r="I53" s="91">
        <v>16896.5</v>
      </c>
    </row>
    <row r="54" spans="1:9" ht="32.25" thickBot="1">
      <c r="A54" s="15" t="s">
        <v>69</v>
      </c>
      <c r="B54" s="16" t="s">
        <v>70</v>
      </c>
      <c r="C54" s="16" t="s">
        <v>26</v>
      </c>
      <c r="D54" s="54">
        <f>D29+D30-D32</f>
        <v>96022.32</v>
      </c>
      <c r="E54" s="54">
        <f>E29+E30-E32</f>
        <v>61908.820000000007</v>
      </c>
      <c r="F54" s="54">
        <f>F29+F30-F32</f>
        <v>34113.5</v>
      </c>
      <c r="G54" s="103">
        <f>G30-G32+G27</f>
        <v>96022.319999999891</v>
      </c>
      <c r="H54" s="54">
        <f>H30-H32+H27</f>
        <v>61908.819999999883</v>
      </c>
      <c r="I54" s="54">
        <f>I30-I32</f>
        <v>34113.5</v>
      </c>
    </row>
    <row r="55" spans="1:9" ht="18.75">
      <c r="A55" s="23"/>
    </row>
    <row r="56" spans="1:9" ht="60.75" thickBot="1">
      <c r="A56" s="24" t="s">
        <v>71</v>
      </c>
      <c r="B56" s="25"/>
      <c r="C56" s="26" t="s">
        <v>72</v>
      </c>
      <c r="D56" s="25"/>
      <c r="E56" s="26"/>
      <c r="F56" s="25"/>
      <c r="G56" s="26" t="s">
        <v>73</v>
      </c>
      <c r="H56" s="25"/>
      <c r="I56" s="25"/>
    </row>
    <row r="57" spans="1:9">
      <c r="A57" s="27"/>
      <c r="B57" s="27"/>
      <c r="C57" s="28" t="s">
        <v>74</v>
      </c>
      <c r="D57" s="27"/>
      <c r="E57" s="28" t="s">
        <v>75</v>
      </c>
      <c r="F57" s="27"/>
      <c r="G57" s="28" t="s">
        <v>76</v>
      </c>
      <c r="H57" s="29"/>
      <c r="I57" s="29"/>
    </row>
    <row r="58" spans="1:9" ht="24.75" thickBot="1">
      <c r="A58" s="24" t="s">
        <v>77</v>
      </c>
      <c r="B58" s="25"/>
      <c r="C58" s="26"/>
      <c r="D58" s="25"/>
      <c r="E58" s="26" t="s">
        <v>78</v>
      </c>
      <c r="F58" s="25"/>
      <c r="G58" s="25"/>
      <c r="H58" s="25"/>
      <c r="I58" s="25"/>
    </row>
    <row r="59" spans="1:9">
      <c r="A59" s="29"/>
      <c r="B59" s="27"/>
      <c r="C59" s="29" t="s">
        <v>75</v>
      </c>
      <c r="D59" s="27"/>
      <c r="E59" s="29" t="s">
        <v>76</v>
      </c>
      <c r="F59" s="27"/>
      <c r="G59" s="27"/>
      <c r="H59" s="27"/>
      <c r="I59" s="27"/>
    </row>
    <row r="60" spans="1:9" ht="24.75" thickBot="1">
      <c r="A60" s="24" t="s">
        <v>79</v>
      </c>
      <c r="B60" s="25"/>
      <c r="C60" s="30" t="s">
        <v>77</v>
      </c>
      <c r="D60" s="25"/>
      <c r="E60" s="30"/>
      <c r="F60" s="25"/>
      <c r="G60" s="26" t="s">
        <v>78</v>
      </c>
      <c r="H60" s="25"/>
      <c r="I60" s="26" t="s">
        <v>80</v>
      </c>
    </row>
    <row r="61" spans="1:9">
      <c r="A61" s="29"/>
      <c r="B61" s="27"/>
      <c r="C61" s="29" t="s">
        <v>74</v>
      </c>
      <c r="D61" s="27"/>
      <c r="E61" s="29" t="s">
        <v>75</v>
      </c>
      <c r="F61" s="27"/>
      <c r="G61" s="29" t="s">
        <v>76</v>
      </c>
      <c r="H61" s="27"/>
      <c r="I61" s="29" t="s">
        <v>81</v>
      </c>
    </row>
    <row r="62" spans="1:9" ht="18.75">
      <c r="A62" s="7"/>
    </row>
    <row r="63" spans="1:9" ht="18.75">
      <c r="A63" s="7"/>
    </row>
    <row r="64" spans="1:9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6" spans="1:1" ht="18.75">
      <c r="A76" s="7"/>
    </row>
    <row r="77" spans="1:1" ht="18.75">
      <c r="A77" s="7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1"/>
    </row>
    <row r="85" spans="1:1" ht="15.75">
      <c r="A85" s="1"/>
    </row>
    <row r="86" spans="1:1" ht="15.75">
      <c r="A86" s="2"/>
    </row>
    <row r="87" spans="1:1" ht="15.75">
      <c r="A87" s="1"/>
    </row>
    <row r="88" spans="1:1" ht="18.75">
      <c r="A88" s="31"/>
    </row>
    <row r="89" spans="1:1" ht="15.75">
      <c r="A89" s="5" t="s">
        <v>84</v>
      </c>
    </row>
    <row r="90" spans="1:1" ht="15.75">
      <c r="A90" s="5" t="s">
        <v>85</v>
      </c>
    </row>
    <row r="91" spans="1:1" ht="15.75">
      <c r="A91" s="5" t="s">
        <v>86</v>
      </c>
    </row>
    <row r="92" spans="1:1" ht="15.75">
      <c r="A92" s="4"/>
    </row>
    <row r="93" spans="1:1" ht="15.75">
      <c r="A93" s="4"/>
    </row>
    <row r="94" spans="1:1" ht="15.75">
      <c r="A94" s="4" t="s">
        <v>9</v>
      </c>
    </row>
    <row r="95" spans="1:1" ht="18.75">
      <c r="A95" s="6"/>
    </row>
    <row r="96" spans="1:1" ht="15.75">
      <c r="A96" s="4" t="s">
        <v>87</v>
      </c>
    </row>
    <row r="97" spans="1:4" ht="15.75">
      <c r="A97" s="4"/>
    </row>
    <row r="98" spans="1:4" ht="18.75">
      <c r="A98" s="7"/>
    </row>
    <row r="99" spans="1:4" ht="16.5" thickBot="1">
      <c r="A99" s="4"/>
    </row>
    <row r="100" spans="1:4" ht="47.25">
      <c r="A100" s="191" t="s">
        <v>88</v>
      </c>
      <c r="B100" s="191" t="s">
        <v>89</v>
      </c>
      <c r="C100" s="32" t="s">
        <v>14</v>
      </c>
      <c r="D100" s="191" t="s">
        <v>92</v>
      </c>
    </row>
    <row r="101" spans="1:4" ht="31.5">
      <c r="A101" s="192"/>
      <c r="B101" s="192"/>
      <c r="C101" s="33" t="s">
        <v>90</v>
      </c>
      <c r="D101" s="192"/>
    </row>
    <row r="102" spans="1:4" ht="47.25">
      <c r="A102" s="192"/>
      <c r="B102" s="192"/>
      <c r="C102" s="33" t="s">
        <v>16</v>
      </c>
      <c r="D102" s="192"/>
    </row>
    <row r="103" spans="1:4" ht="47.25">
      <c r="A103" s="192"/>
      <c r="B103" s="192"/>
      <c r="C103" s="33" t="s">
        <v>17</v>
      </c>
      <c r="D103" s="192"/>
    </row>
    <row r="104" spans="1:4" ht="32.25" thickBot="1">
      <c r="A104" s="193"/>
      <c r="B104" s="193"/>
      <c r="C104" s="34" t="s">
        <v>91</v>
      </c>
      <c r="D104" s="193"/>
    </row>
    <row r="105" spans="1:4" ht="16.5" thickBot="1">
      <c r="A105" s="85">
        <v>1</v>
      </c>
      <c r="B105" s="34">
        <v>2</v>
      </c>
      <c r="C105" s="34">
        <v>3</v>
      </c>
      <c r="D105" s="34">
        <v>4</v>
      </c>
    </row>
    <row r="106" spans="1:4" ht="16.5" thickBot="1">
      <c r="A106" s="85" t="s">
        <v>24</v>
      </c>
      <c r="B106" s="91"/>
      <c r="C106" s="91"/>
      <c r="D106" s="35"/>
    </row>
    <row r="107" spans="1:4" ht="16.5" thickBot="1">
      <c r="A107" s="85" t="s">
        <v>93</v>
      </c>
      <c r="B107" s="91"/>
      <c r="C107" s="91"/>
      <c r="D107" s="35"/>
    </row>
    <row r="108" spans="1:4" ht="16.5" thickBot="1">
      <c r="A108" s="85" t="s">
        <v>94</v>
      </c>
      <c r="B108" s="91"/>
      <c r="C108" s="34"/>
      <c r="D108" s="35"/>
    </row>
    <row r="109" spans="1:4" ht="16.5" thickBot="1">
      <c r="A109" s="85"/>
      <c r="B109" s="91" t="s">
        <v>95</v>
      </c>
      <c r="C109" s="34"/>
      <c r="D109" s="35"/>
    </row>
    <row r="110" spans="1:4" ht="15.75">
      <c r="A110" s="191" t="s">
        <v>96</v>
      </c>
      <c r="B110" s="90" t="s">
        <v>97</v>
      </c>
      <c r="C110" s="191"/>
      <c r="D110" s="194"/>
    </row>
    <row r="111" spans="1:4" ht="16.5" thickBot="1">
      <c r="A111" s="193"/>
      <c r="B111" s="91" t="s">
        <v>98</v>
      </c>
      <c r="C111" s="193"/>
      <c r="D111" s="195"/>
    </row>
    <row r="112" spans="1:4" ht="15.75">
      <c r="A112" s="3"/>
    </row>
    <row r="113" spans="1:9" ht="15.75">
      <c r="A113" s="3"/>
    </row>
    <row r="114" spans="1:9" ht="15.75">
      <c r="A114" s="3"/>
    </row>
    <row r="115" spans="1:9" ht="60.75" thickBot="1">
      <c r="A115" s="37" t="s">
        <v>99</v>
      </c>
      <c r="B115" s="25"/>
      <c r="C115" s="26"/>
      <c r="D115" s="25"/>
      <c r="E115" s="26"/>
      <c r="F115" s="25"/>
      <c r="G115" s="26"/>
      <c r="H115" s="25"/>
      <c r="I115" s="25"/>
    </row>
    <row r="116" spans="1:9">
      <c r="A116" s="27"/>
      <c r="B116" s="27"/>
      <c r="C116" s="28" t="s">
        <v>74</v>
      </c>
      <c r="D116" s="27"/>
      <c r="E116" s="28" t="s">
        <v>75</v>
      </c>
      <c r="F116" s="27"/>
      <c r="G116" s="28" t="s">
        <v>76</v>
      </c>
      <c r="H116" s="29"/>
      <c r="I116" s="29"/>
    </row>
    <row r="117" spans="1:9" ht="24.75" thickBot="1">
      <c r="A117" s="24" t="s">
        <v>77</v>
      </c>
      <c r="B117" s="25"/>
      <c r="C117" s="26"/>
      <c r="D117" s="25"/>
      <c r="E117" s="26"/>
      <c r="F117" s="25"/>
      <c r="G117" s="25"/>
      <c r="H117" s="25"/>
      <c r="I117" s="25"/>
    </row>
    <row r="118" spans="1:9">
      <c r="A118" s="29"/>
      <c r="B118" s="27"/>
      <c r="C118" s="29" t="s">
        <v>75</v>
      </c>
      <c r="D118" s="27"/>
      <c r="E118" s="29" t="s">
        <v>76</v>
      </c>
      <c r="F118" s="27"/>
      <c r="G118" s="27"/>
      <c r="H118" s="27"/>
      <c r="I118" s="27"/>
    </row>
    <row r="119" spans="1:9" ht="24.75" thickBot="1">
      <c r="A119" s="24" t="s">
        <v>79</v>
      </c>
      <c r="B119" s="25"/>
      <c r="C119" s="30"/>
      <c r="D119" s="25"/>
      <c r="E119" s="30"/>
      <c r="F119" s="25"/>
      <c r="G119" s="26"/>
      <c r="H119" s="25"/>
      <c r="I119" s="26"/>
    </row>
    <row r="120" spans="1:9">
      <c r="A120" s="29"/>
      <c r="B120" s="27"/>
      <c r="C120" s="29" t="s">
        <v>74</v>
      </c>
      <c r="D120" s="27"/>
      <c r="E120" s="29" t="s">
        <v>75</v>
      </c>
      <c r="F120" s="27"/>
      <c r="G120" s="29" t="s">
        <v>76</v>
      </c>
      <c r="H120" s="27"/>
      <c r="I120" s="29" t="s">
        <v>81</v>
      </c>
    </row>
    <row r="121" spans="1:9" ht="18.75">
      <c r="A121" s="7"/>
    </row>
    <row r="122" spans="1:9" ht="18.75">
      <c r="A122" s="7"/>
    </row>
    <row r="123" spans="1:9" ht="18.75">
      <c r="A123" s="7"/>
    </row>
    <row r="124" spans="1:9" ht="18.75">
      <c r="A124" s="7"/>
    </row>
    <row r="125" spans="1:9" ht="18.75">
      <c r="A125" s="7"/>
    </row>
  </sheetData>
  <mergeCells count="21">
    <mergeCell ref="A110:A111"/>
    <mergeCell ref="C110:C111"/>
    <mergeCell ref="D110:D111"/>
    <mergeCell ref="G30:G31"/>
    <mergeCell ref="H30:H31"/>
    <mergeCell ref="I30:I31"/>
    <mergeCell ref="A100:A104"/>
    <mergeCell ref="B100:B104"/>
    <mergeCell ref="D100:D104"/>
    <mergeCell ref="A30:A31"/>
    <mergeCell ref="B30:B31"/>
    <mergeCell ref="C30:C31"/>
    <mergeCell ref="D30:D31"/>
    <mergeCell ref="E30:E31"/>
    <mergeCell ref="F30:F31"/>
    <mergeCell ref="D20:D24"/>
    <mergeCell ref="E20:F22"/>
    <mergeCell ref="G20:G24"/>
    <mergeCell ref="H20:I23"/>
    <mergeCell ref="E23:E24"/>
    <mergeCell ref="F23:F2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125"/>
  <sheetViews>
    <sheetView topLeftCell="A13" workbookViewId="0">
      <selection activeCell="A78" sqref="A78:A86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8.140625" customWidth="1"/>
    <col min="6" max="6" width="18.5703125" customWidth="1"/>
    <col min="7" max="7" width="18.85546875" customWidth="1"/>
    <col min="8" max="8" width="23.7109375" customWidth="1"/>
    <col min="9" max="9" width="26.5703125" customWidth="1"/>
  </cols>
  <sheetData>
    <row r="2" spans="1:9" ht="21">
      <c r="H2" s="92" t="s">
        <v>125</v>
      </c>
    </row>
    <row r="3" spans="1:9" ht="15.75">
      <c r="A3" s="1"/>
      <c r="F3" s="1"/>
      <c r="G3" s="1"/>
      <c r="H3" s="1" t="s">
        <v>0</v>
      </c>
      <c r="I3" s="1"/>
    </row>
    <row r="4" spans="1:9" ht="15.75">
      <c r="A4" s="1"/>
      <c r="F4" s="1"/>
      <c r="G4" s="1"/>
      <c r="H4" s="1" t="s">
        <v>1</v>
      </c>
      <c r="I4" s="1"/>
    </row>
    <row r="5" spans="1:9" ht="15.75">
      <c r="A5" s="1"/>
      <c r="F5" s="1"/>
      <c r="G5" s="1"/>
      <c r="H5" s="1" t="s">
        <v>2</v>
      </c>
      <c r="I5" s="1"/>
    </row>
    <row r="6" spans="1:9" ht="15.75">
      <c r="A6" s="1"/>
      <c r="F6" s="1"/>
      <c r="G6" s="1"/>
      <c r="H6" s="1" t="s">
        <v>3</v>
      </c>
      <c r="I6" s="1"/>
    </row>
    <row r="7" spans="1:9" ht="15.75">
      <c r="A7" s="1"/>
      <c r="F7" s="1"/>
      <c r="G7" s="1"/>
      <c r="H7" s="1" t="s">
        <v>4</v>
      </c>
      <c r="I7" s="1"/>
    </row>
    <row r="8" spans="1:9" ht="15.75">
      <c r="A8" s="1"/>
      <c r="F8" s="1"/>
      <c r="G8" s="1"/>
      <c r="H8" s="1" t="s">
        <v>5</v>
      </c>
      <c r="I8" s="1"/>
    </row>
    <row r="9" spans="1:9" ht="15.75">
      <c r="A9" s="1"/>
      <c r="F9" s="1"/>
      <c r="G9" s="1"/>
      <c r="H9" s="1" t="s">
        <v>6</v>
      </c>
      <c r="I9" s="1"/>
    </row>
    <row r="10" spans="1:9" ht="15.75">
      <c r="A10" s="2"/>
      <c r="F10" s="2"/>
      <c r="G10" s="2"/>
      <c r="H10" s="2" t="s">
        <v>7</v>
      </c>
      <c r="I10" s="2"/>
    </row>
    <row r="11" spans="1:9" ht="15.75">
      <c r="A11" s="1"/>
      <c r="F11" s="1"/>
      <c r="G11" s="1"/>
      <c r="H11" s="1" t="s">
        <v>8</v>
      </c>
      <c r="I11" s="1"/>
    </row>
    <row r="12" spans="1:9" ht="15.75">
      <c r="A12" s="4"/>
    </row>
    <row r="13" spans="1:9" ht="18.75">
      <c r="A13" s="5"/>
      <c r="B13" s="49" t="s">
        <v>103</v>
      </c>
      <c r="C13" s="49"/>
      <c r="D13" s="49"/>
      <c r="E13" s="48"/>
    </row>
    <row r="14" spans="1:9" ht="15.75">
      <c r="B14" s="50" t="s">
        <v>100</v>
      </c>
      <c r="C14" s="51"/>
      <c r="D14" s="51"/>
      <c r="E14" s="51"/>
    </row>
    <row r="15" spans="1:9" ht="15.75">
      <c r="A15" s="4"/>
      <c r="B15" s="43"/>
      <c r="C15" s="43"/>
      <c r="D15" s="43"/>
      <c r="E15" s="43"/>
    </row>
    <row r="16" spans="1:9" ht="26.25">
      <c r="A16" s="6"/>
      <c r="B16" s="51" t="s">
        <v>128</v>
      </c>
      <c r="C16" s="43"/>
      <c r="D16" s="43"/>
      <c r="E16" s="43"/>
      <c r="H16" s="52">
        <v>2</v>
      </c>
    </row>
    <row r="17" spans="1:9" ht="15.75">
      <c r="A17" s="4"/>
      <c r="B17" s="43"/>
      <c r="C17" s="43"/>
      <c r="D17" s="43"/>
      <c r="E17" s="43"/>
    </row>
    <row r="18" spans="1:9" ht="15.75">
      <c r="A18" s="4"/>
      <c r="B18" s="4"/>
    </row>
    <row r="19" spans="1:9" ht="19.5" thickBot="1">
      <c r="A19" s="7"/>
    </row>
    <row r="20" spans="1:9" ht="47.25">
      <c r="A20" s="105" t="s">
        <v>10</v>
      </c>
      <c r="B20" s="108" t="s">
        <v>12</v>
      </c>
      <c r="C20" s="108" t="s">
        <v>14</v>
      </c>
      <c r="D20" s="179" t="s">
        <v>19</v>
      </c>
      <c r="E20" s="182" t="s">
        <v>20</v>
      </c>
      <c r="F20" s="183"/>
      <c r="G20" s="182" t="s">
        <v>21</v>
      </c>
      <c r="H20" s="196" t="s">
        <v>20</v>
      </c>
      <c r="I20" s="197"/>
    </row>
    <row r="21" spans="1:9" ht="31.5">
      <c r="A21" s="106" t="s">
        <v>11</v>
      </c>
      <c r="B21" s="109" t="s">
        <v>13</v>
      </c>
      <c r="C21" s="109" t="s">
        <v>15</v>
      </c>
      <c r="D21" s="180"/>
      <c r="E21" s="184"/>
      <c r="F21" s="185"/>
      <c r="G21" s="184"/>
      <c r="H21" s="198"/>
      <c r="I21" s="199"/>
    </row>
    <row r="22" spans="1:9" ht="48" thickBot="1">
      <c r="A22" s="8"/>
      <c r="B22" s="10"/>
      <c r="C22" s="109" t="s">
        <v>16</v>
      </c>
      <c r="D22" s="180"/>
      <c r="E22" s="186"/>
      <c r="F22" s="187"/>
      <c r="G22" s="184"/>
      <c r="H22" s="198"/>
      <c r="I22" s="199"/>
    </row>
    <row r="23" spans="1:9" ht="47.25">
      <c r="A23" s="8"/>
      <c r="B23" s="10"/>
      <c r="C23" s="109" t="s">
        <v>17</v>
      </c>
      <c r="D23" s="180"/>
      <c r="E23" s="189">
        <v>130</v>
      </c>
      <c r="F23" s="189">
        <v>180</v>
      </c>
      <c r="G23" s="184"/>
      <c r="H23" s="200"/>
      <c r="I23" s="201"/>
    </row>
    <row r="24" spans="1:9" ht="32.25" thickBot="1">
      <c r="A24" s="9"/>
      <c r="B24" s="11"/>
      <c r="C24" s="110" t="s">
        <v>18</v>
      </c>
      <c r="D24" s="181"/>
      <c r="E24" s="190"/>
      <c r="F24" s="190"/>
      <c r="G24" s="181"/>
      <c r="H24" s="53">
        <v>130</v>
      </c>
      <c r="I24" s="53">
        <v>180</v>
      </c>
    </row>
    <row r="25" spans="1:9" ht="16.5" thickBot="1">
      <c r="A25" s="107">
        <v>1</v>
      </c>
      <c r="B25" s="110">
        <v>2</v>
      </c>
      <c r="C25" s="110">
        <v>3</v>
      </c>
      <c r="D25" s="110">
        <v>4</v>
      </c>
      <c r="E25" s="110"/>
      <c r="F25" s="110"/>
      <c r="G25" s="110"/>
      <c r="H25" s="110">
        <v>5</v>
      </c>
      <c r="I25" s="110">
        <v>6</v>
      </c>
    </row>
    <row r="26" spans="1:9" ht="19.5" thickBot="1">
      <c r="A26" s="107" t="s">
        <v>24</v>
      </c>
      <c r="B26" s="110" t="s">
        <v>105</v>
      </c>
      <c r="C26" s="110" t="s">
        <v>26</v>
      </c>
      <c r="D26" s="110">
        <v>1744860</v>
      </c>
      <c r="E26" s="110">
        <v>1594860</v>
      </c>
      <c r="F26" s="110">
        <v>150000</v>
      </c>
      <c r="G26" s="53">
        <f>H26+I26</f>
        <v>1744860</v>
      </c>
      <c r="H26" s="110">
        <v>1594860</v>
      </c>
      <c r="I26" s="110">
        <v>150000</v>
      </c>
    </row>
    <row r="27" spans="1:9" ht="19.5" thickBot="1">
      <c r="A27" s="107"/>
      <c r="B27" s="110" t="s">
        <v>106</v>
      </c>
      <c r="C27" s="110" t="s">
        <v>26</v>
      </c>
      <c r="D27" s="110">
        <v>7525.82</v>
      </c>
      <c r="E27" s="110">
        <v>7525.82</v>
      </c>
      <c r="F27" s="110"/>
      <c r="G27" s="53">
        <v>7525.82</v>
      </c>
      <c r="H27" s="110">
        <v>7525.82</v>
      </c>
      <c r="I27" s="110"/>
    </row>
    <row r="28" spans="1:9" ht="19.5" thickBot="1">
      <c r="A28" s="107"/>
      <c r="B28" s="110" t="s">
        <v>113</v>
      </c>
      <c r="C28" s="110"/>
      <c r="D28" s="110">
        <f>E28+F28</f>
        <v>88496.5</v>
      </c>
      <c r="E28" s="110">
        <v>54383</v>
      </c>
      <c r="F28" s="110">
        <v>34113.5</v>
      </c>
      <c r="G28" s="53">
        <f>H28+I28</f>
        <v>88496.5</v>
      </c>
      <c r="H28" s="110">
        <v>54383</v>
      </c>
      <c r="I28" s="110">
        <v>34113.5</v>
      </c>
    </row>
    <row r="29" spans="1:9" ht="38.25" customHeight="1" thickBot="1">
      <c r="A29" s="107" t="s">
        <v>27</v>
      </c>
      <c r="B29" s="110" t="s">
        <v>112</v>
      </c>
      <c r="C29" s="110" t="s">
        <v>29</v>
      </c>
      <c r="D29" s="110">
        <f>E29+F29</f>
        <v>96022.32</v>
      </c>
      <c r="E29" s="110">
        <f>E27+E28</f>
        <v>61908.82</v>
      </c>
      <c r="F29" s="110">
        <f>F28</f>
        <v>34113.5</v>
      </c>
      <c r="G29" s="39">
        <f>G27+G28</f>
        <v>96022.32</v>
      </c>
      <c r="H29" s="39">
        <v>61908.82</v>
      </c>
      <c r="I29" s="39">
        <v>34113.5</v>
      </c>
    </row>
    <row r="30" spans="1:9" ht="27" customHeight="1">
      <c r="A30" s="179" t="s">
        <v>30</v>
      </c>
      <c r="B30" s="179" t="s">
        <v>102</v>
      </c>
      <c r="C30" s="179" t="s">
        <v>32</v>
      </c>
      <c r="D30" s="179">
        <f>E30+F30</f>
        <v>156076</v>
      </c>
      <c r="E30" s="179">
        <v>103776</v>
      </c>
      <c r="F30" s="179">
        <v>52300</v>
      </c>
      <c r="G30" s="179">
        <f>H30+I30</f>
        <v>1260091.17</v>
      </c>
      <c r="H30" s="179">
        <f>396192.13+192611.07+223448.75+228063.3+12689.92+103776</f>
        <v>1156781.17</v>
      </c>
      <c r="I30" s="179">
        <f>7630+43380+52300</f>
        <v>103310</v>
      </c>
    </row>
    <row r="31" spans="1:9" ht="24" customHeight="1" thickBot="1">
      <c r="A31" s="181"/>
      <c r="B31" s="181"/>
      <c r="C31" s="181"/>
      <c r="D31" s="181"/>
      <c r="E31" s="181"/>
      <c r="F31" s="181"/>
      <c r="G31" s="180"/>
      <c r="H31" s="181"/>
      <c r="I31" s="181"/>
    </row>
    <row r="32" spans="1:9" ht="47.25" customHeight="1" thickBot="1">
      <c r="A32" s="41" t="s">
        <v>33</v>
      </c>
      <c r="B32" s="38" t="s">
        <v>34</v>
      </c>
      <c r="C32" s="38">
        <v>900</v>
      </c>
      <c r="D32" s="38">
        <f>D34+D39+D46+D49+D50</f>
        <v>92142.27</v>
      </c>
      <c r="E32" s="38">
        <f>E34+E39+E46+E49+E50</f>
        <v>46638.270000000004</v>
      </c>
      <c r="F32" s="97">
        <f>F34+F5039+F46+F49+F50</f>
        <v>45504</v>
      </c>
      <c r="G32" s="98">
        <f t="shared" ref="G32" si="0">H32+I32</f>
        <v>1107660.94</v>
      </c>
      <c r="H32" s="38">
        <f>H34+H39+H46+H49+H50</f>
        <v>1045260.44</v>
      </c>
      <c r="I32" s="38">
        <f>I34+I39+I46+I49+I50</f>
        <v>62400.5</v>
      </c>
    </row>
    <row r="33" spans="1:9" ht="16.5" thickBot="1">
      <c r="A33" s="107"/>
      <c r="B33" s="110" t="s">
        <v>35</v>
      </c>
      <c r="C33" s="110"/>
      <c r="D33" s="110"/>
      <c r="E33" s="110"/>
      <c r="F33" s="93"/>
      <c r="G33" s="95"/>
      <c r="H33" s="110"/>
      <c r="I33" s="110"/>
    </row>
    <row r="34" spans="1:9" ht="32.25" thickBot="1">
      <c r="A34" s="107" t="s">
        <v>36</v>
      </c>
      <c r="B34" s="110" t="s">
        <v>37</v>
      </c>
      <c r="C34" s="13">
        <v>210</v>
      </c>
      <c r="D34" s="13">
        <f>D36+D37+D38</f>
        <v>398.5</v>
      </c>
      <c r="E34" s="13">
        <f t="shared" ref="E34:F34" si="1">E36+E37+E38</f>
        <v>398.5</v>
      </c>
      <c r="F34" s="99">
        <f t="shared" si="1"/>
        <v>0</v>
      </c>
      <c r="G34" s="100">
        <f t="shared" ref="G34" si="2">H34+I34</f>
        <v>24378.670000000002</v>
      </c>
      <c r="H34" s="13">
        <f>H36+H37+H38</f>
        <v>24378.670000000002</v>
      </c>
      <c r="I34" s="13">
        <f>I36+I37+I38</f>
        <v>0</v>
      </c>
    </row>
    <row r="35" spans="1:9" ht="16.5" thickBot="1">
      <c r="A35" s="107"/>
      <c r="B35" s="110" t="s">
        <v>38</v>
      </c>
      <c r="C35" s="110"/>
      <c r="D35" s="110"/>
      <c r="E35" s="110"/>
      <c r="F35" s="93"/>
      <c r="G35" s="95"/>
      <c r="H35" s="110"/>
      <c r="I35" s="110"/>
    </row>
    <row r="36" spans="1:9" ht="16.5" thickBot="1">
      <c r="A36" s="107" t="s">
        <v>39</v>
      </c>
      <c r="B36" s="110" t="s">
        <v>40</v>
      </c>
      <c r="C36" s="110">
        <v>211</v>
      </c>
      <c r="D36" s="110">
        <f>E36+F36</f>
        <v>398.5</v>
      </c>
      <c r="E36" s="110">
        <v>398.5</v>
      </c>
      <c r="F36" s="93"/>
      <c r="G36" s="95">
        <f t="shared" ref="G36" si="3">H36+I36</f>
        <v>18960.620000000003</v>
      </c>
      <c r="H36" s="110">
        <f>1192.7+9481.67+4258.28+3255.47+374+398.5</f>
        <v>18960.620000000003</v>
      </c>
      <c r="I36" s="110"/>
    </row>
    <row r="37" spans="1:9" ht="16.5" thickBot="1">
      <c r="A37" s="107" t="s">
        <v>41</v>
      </c>
      <c r="B37" s="110" t="s">
        <v>42</v>
      </c>
      <c r="C37" s="110">
        <v>212</v>
      </c>
      <c r="D37" s="110">
        <v>0</v>
      </c>
      <c r="E37" s="110"/>
      <c r="F37" s="93"/>
      <c r="G37" s="95"/>
      <c r="H37" s="110"/>
      <c r="I37" s="110">
        <v>0</v>
      </c>
    </row>
    <row r="38" spans="1:9" ht="16.5" thickBot="1">
      <c r="A38" s="107" t="s">
        <v>43</v>
      </c>
      <c r="B38" s="110" t="s">
        <v>44</v>
      </c>
      <c r="C38" s="110">
        <v>213</v>
      </c>
      <c r="D38" s="110">
        <f>E38+F38</f>
        <v>0</v>
      </c>
      <c r="E38" s="110"/>
      <c r="F38" s="93"/>
      <c r="G38" s="95">
        <f t="shared" ref="G38" si="4">H38+I38</f>
        <v>5418.0499999999993</v>
      </c>
      <c r="H38" s="110">
        <f>1767.08+1436.78+1274.83+939.36</f>
        <v>5418.0499999999993</v>
      </c>
      <c r="I38" s="110">
        <v>0</v>
      </c>
    </row>
    <row r="39" spans="1:9" ht="16.5" thickBot="1">
      <c r="A39" s="107" t="s">
        <v>45</v>
      </c>
      <c r="B39" s="110" t="s">
        <v>46</v>
      </c>
      <c r="C39" s="14">
        <v>220</v>
      </c>
      <c r="D39" s="14">
        <f t="shared" ref="D39:I39" si="5">D41+D42+D43+D44+D45</f>
        <v>17074.77</v>
      </c>
      <c r="E39" s="14">
        <f t="shared" si="5"/>
        <v>17074.77</v>
      </c>
      <c r="F39" s="96">
        <f t="shared" si="5"/>
        <v>0</v>
      </c>
      <c r="G39" s="100">
        <f>H39</f>
        <v>17074.77</v>
      </c>
      <c r="H39" s="14">
        <f t="shared" si="5"/>
        <v>17074.77</v>
      </c>
      <c r="I39" s="14">
        <f t="shared" si="5"/>
        <v>0</v>
      </c>
    </row>
    <row r="40" spans="1:9" ht="16.5" thickBot="1">
      <c r="A40" s="107"/>
      <c r="B40" s="110" t="s">
        <v>38</v>
      </c>
      <c r="C40" s="110"/>
      <c r="D40" s="110"/>
      <c r="E40" s="110"/>
      <c r="F40" s="93"/>
      <c r="G40" s="95">
        <f t="shared" ref="G40" si="6">H40+I40</f>
        <v>0</v>
      </c>
      <c r="H40" s="110"/>
      <c r="I40" s="110"/>
    </row>
    <row r="41" spans="1:9" ht="16.5" thickBot="1">
      <c r="A41" s="107" t="s">
        <v>47</v>
      </c>
      <c r="B41" s="110" t="s">
        <v>48</v>
      </c>
      <c r="C41" s="110">
        <v>221</v>
      </c>
      <c r="D41" s="110">
        <v>0</v>
      </c>
      <c r="E41" s="110"/>
      <c r="F41" s="93"/>
      <c r="G41" s="95"/>
      <c r="H41" s="110"/>
      <c r="I41" s="110"/>
    </row>
    <row r="42" spans="1:9" ht="26.25" customHeight="1" thickBot="1">
      <c r="A42" s="107" t="s">
        <v>49</v>
      </c>
      <c r="B42" s="110" t="s">
        <v>50</v>
      </c>
      <c r="C42" s="110">
        <v>222</v>
      </c>
      <c r="D42" s="110">
        <v>0</v>
      </c>
      <c r="E42" s="110"/>
      <c r="F42" s="93"/>
      <c r="G42" s="95">
        <f t="shared" ref="G42" si="7">H42+I42</f>
        <v>0</v>
      </c>
      <c r="H42" s="110"/>
      <c r="I42" s="110"/>
    </row>
    <row r="43" spans="1:9" ht="29.25" customHeight="1" thickBot="1">
      <c r="A43" s="107" t="s">
        <v>51</v>
      </c>
      <c r="B43" s="110" t="s">
        <v>52</v>
      </c>
      <c r="C43" s="110">
        <v>223</v>
      </c>
      <c r="D43" s="110">
        <v>0</v>
      </c>
      <c r="E43" s="110"/>
      <c r="F43" s="93"/>
      <c r="G43" s="95"/>
      <c r="H43" s="110"/>
      <c r="I43" s="110"/>
    </row>
    <row r="44" spans="1:9" ht="16.5" thickBot="1">
      <c r="A44" s="107" t="s">
        <v>53</v>
      </c>
      <c r="B44" s="110" t="s">
        <v>54</v>
      </c>
      <c r="C44" s="110">
        <v>225</v>
      </c>
      <c r="D44" s="110">
        <v>0</v>
      </c>
      <c r="E44" s="110"/>
      <c r="F44" s="93"/>
      <c r="G44" s="95">
        <f t="shared" ref="G44" si="8">H44+I44</f>
        <v>0</v>
      </c>
      <c r="H44" s="110"/>
      <c r="I44" s="110">
        <v>0</v>
      </c>
    </row>
    <row r="45" spans="1:9" ht="30" customHeight="1" thickBot="1">
      <c r="A45" s="107" t="s">
        <v>55</v>
      </c>
      <c r="B45" s="110" t="s">
        <v>56</v>
      </c>
      <c r="C45" s="110">
        <v>226</v>
      </c>
      <c r="D45" s="110">
        <f>E45+F45</f>
        <v>17074.77</v>
      </c>
      <c r="E45" s="110">
        <v>17074.77</v>
      </c>
      <c r="F45" s="93"/>
      <c r="G45" s="95">
        <f>H45</f>
        <v>17074.77</v>
      </c>
      <c r="H45" s="110">
        <v>17074.77</v>
      </c>
      <c r="I45" s="110">
        <v>0</v>
      </c>
    </row>
    <row r="46" spans="1:9" ht="16.5" thickBot="1">
      <c r="A46" s="107" t="s">
        <v>57</v>
      </c>
      <c r="B46" s="110" t="s">
        <v>58</v>
      </c>
      <c r="C46" s="14">
        <v>260</v>
      </c>
      <c r="D46" s="14">
        <f t="shared" ref="D46:I46" si="9">D48</f>
        <v>0</v>
      </c>
      <c r="E46" s="14">
        <f t="shared" si="9"/>
        <v>0</v>
      </c>
      <c r="F46" s="96">
        <f t="shared" si="9"/>
        <v>0</v>
      </c>
      <c r="G46" s="100">
        <f t="shared" ref="G46" si="10">H46+I46</f>
        <v>0</v>
      </c>
      <c r="H46" s="14">
        <f t="shared" si="9"/>
        <v>0</v>
      </c>
      <c r="I46" s="14">
        <f t="shared" si="9"/>
        <v>0</v>
      </c>
    </row>
    <row r="47" spans="1:9" ht="16.5" thickBot="1">
      <c r="A47" s="107"/>
      <c r="B47" s="110" t="s">
        <v>38</v>
      </c>
      <c r="C47" s="110"/>
      <c r="D47" s="110"/>
      <c r="E47" s="110"/>
      <c r="F47" s="93"/>
      <c r="G47" s="95"/>
      <c r="H47" s="110"/>
      <c r="I47" s="110"/>
    </row>
    <row r="48" spans="1:9" ht="16.5" thickBot="1">
      <c r="A48" s="107" t="s">
        <v>59</v>
      </c>
      <c r="B48" s="110" t="s">
        <v>60</v>
      </c>
      <c r="C48" s="110">
        <v>262</v>
      </c>
      <c r="D48" s="110"/>
      <c r="E48" s="110"/>
      <c r="F48" s="93"/>
      <c r="G48" s="95">
        <f t="shared" ref="G48" si="11">H48+I48</f>
        <v>0</v>
      </c>
      <c r="H48" s="110"/>
      <c r="I48" s="110">
        <v>0</v>
      </c>
    </row>
    <row r="49" spans="1:9" ht="38.25" customHeight="1" thickBot="1">
      <c r="A49" s="107" t="s">
        <v>61</v>
      </c>
      <c r="B49" s="110" t="s">
        <v>62</v>
      </c>
      <c r="C49" s="14">
        <v>290</v>
      </c>
      <c r="D49" s="14">
        <f>E49</f>
        <v>2288</v>
      </c>
      <c r="E49" s="14">
        <v>2288</v>
      </c>
      <c r="F49" s="96">
        <v>0</v>
      </c>
      <c r="G49" s="101">
        <f>H49</f>
        <v>7197</v>
      </c>
      <c r="H49" s="14">
        <f>4909+2288</f>
        <v>7197</v>
      </c>
      <c r="I49" s="14">
        <v>0</v>
      </c>
    </row>
    <row r="50" spans="1:9" ht="33" customHeight="1" thickBot="1">
      <c r="A50" s="107" t="s">
        <v>63</v>
      </c>
      <c r="B50" s="110" t="s">
        <v>64</v>
      </c>
      <c r="C50" s="14">
        <v>300</v>
      </c>
      <c r="D50" s="14">
        <f>E50+F50</f>
        <v>72381</v>
      </c>
      <c r="E50" s="14">
        <f t="shared" ref="E50:I50" si="12">E52+E53</f>
        <v>26877</v>
      </c>
      <c r="F50" s="96">
        <f t="shared" si="12"/>
        <v>45504</v>
      </c>
      <c r="G50" s="101">
        <f t="shared" ref="G50" si="13">H50+I50</f>
        <v>1059010.5</v>
      </c>
      <c r="H50" s="14">
        <f t="shared" si="12"/>
        <v>996610</v>
      </c>
      <c r="I50" s="14">
        <f t="shared" si="12"/>
        <v>62400.5</v>
      </c>
    </row>
    <row r="51" spans="1:9" ht="16.5" thickBot="1">
      <c r="A51" s="107"/>
      <c r="B51" s="110" t="s">
        <v>38</v>
      </c>
      <c r="C51" s="110"/>
      <c r="D51" s="110"/>
      <c r="E51" s="110"/>
      <c r="F51" s="93"/>
      <c r="G51" s="102"/>
      <c r="H51" s="110"/>
      <c r="I51" s="110"/>
    </row>
    <row r="52" spans="1:9" ht="16.5" thickBot="1">
      <c r="A52" s="107" t="s">
        <v>65</v>
      </c>
      <c r="B52" s="110" t="s">
        <v>66</v>
      </c>
      <c r="C52" s="110">
        <v>310</v>
      </c>
      <c r="D52" s="110">
        <f>E52+F52</f>
        <v>6877</v>
      </c>
      <c r="E52" s="110">
        <v>6877</v>
      </c>
      <c r="F52" s="94">
        <v>0</v>
      </c>
      <c r="G52" s="102">
        <f>H52+I52</f>
        <v>90055</v>
      </c>
      <c r="H52" s="110">
        <f>80445+2733+6877</f>
        <v>90055</v>
      </c>
      <c r="I52" s="110"/>
    </row>
    <row r="53" spans="1:9" ht="16.5" thickBot="1">
      <c r="A53" s="107" t="s">
        <v>67</v>
      </c>
      <c r="B53" s="110" t="s">
        <v>68</v>
      </c>
      <c r="C53" s="110">
        <v>340</v>
      </c>
      <c r="D53" s="110">
        <f>E53+F53</f>
        <v>65504</v>
      </c>
      <c r="E53" s="110">
        <v>20000</v>
      </c>
      <c r="F53" s="93">
        <v>45504</v>
      </c>
      <c r="G53" s="102">
        <f>H53+I53</f>
        <v>968955.5</v>
      </c>
      <c r="H53" s="110">
        <v>906555</v>
      </c>
      <c r="I53" s="110">
        <v>62400.5</v>
      </c>
    </row>
    <row r="54" spans="1:9" ht="32.25" thickBot="1">
      <c r="A54" s="15" t="s">
        <v>69</v>
      </c>
      <c r="B54" s="16" t="s">
        <v>70</v>
      </c>
      <c r="C54" s="16" t="s">
        <v>26</v>
      </c>
      <c r="D54" s="120">
        <f>D29+D30-D32</f>
        <v>159956.04999999999</v>
      </c>
      <c r="E54" s="120">
        <f>E29+E30-E32</f>
        <v>119046.55</v>
      </c>
      <c r="F54" s="120">
        <f>F29+F30-F32</f>
        <v>40909.5</v>
      </c>
      <c r="G54" s="120">
        <f>G30-G32+G27</f>
        <v>159956.04999999999</v>
      </c>
      <c r="H54" s="120">
        <f>H30-H32+H27</f>
        <v>119046.54999999999</v>
      </c>
      <c r="I54" s="120">
        <f>I30-I32</f>
        <v>40909.5</v>
      </c>
    </row>
    <row r="55" spans="1:9" ht="18.75">
      <c r="A55" s="23"/>
    </row>
    <row r="56" spans="1:9" ht="60.75" thickBot="1">
      <c r="A56" s="24" t="s">
        <v>71</v>
      </c>
      <c r="B56" s="25"/>
      <c r="C56" s="26" t="s">
        <v>72</v>
      </c>
      <c r="D56" s="25"/>
      <c r="E56" s="26"/>
      <c r="F56" s="25"/>
      <c r="G56" s="26" t="s">
        <v>73</v>
      </c>
      <c r="H56" s="25"/>
      <c r="I56" s="25"/>
    </row>
    <row r="57" spans="1:9">
      <c r="A57" s="27"/>
      <c r="B57" s="27"/>
      <c r="C57" s="28" t="s">
        <v>74</v>
      </c>
      <c r="D57" s="27"/>
      <c r="E57" s="28" t="s">
        <v>75</v>
      </c>
      <c r="F57" s="27"/>
      <c r="G57" s="28" t="s">
        <v>76</v>
      </c>
      <c r="H57" s="29"/>
      <c r="I57" s="29"/>
    </row>
    <row r="58" spans="1:9" ht="24.75" thickBot="1">
      <c r="A58" s="24" t="s">
        <v>77</v>
      </c>
      <c r="B58" s="25"/>
      <c r="C58" s="26"/>
      <c r="D58" s="25"/>
      <c r="E58" s="26" t="s">
        <v>78</v>
      </c>
      <c r="F58" s="25"/>
      <c r="G58" s="25"/>
      <c r="H58" s="25"/>
      <c r="I58" s="25"/>
    </row>
    <row r="59" spans="1:9">
      <c r="A59" s="29"/>
      <c r="B59" s="27"/>
      <c r="C59" s="29" t="s">
        <v>75</v>
      </c>
      <c r="D59" s="27"/>
      <c r="E59" s="29" t="s">
        <v>76</v>
      </c>
      <c r="F59" s="27"/>
      <c r="G59" s="27"/>
      <c r="H59" s="27"/>
      <c r="I59" s="27"/>
    </row>
    <row r="60" spans="1:9" ht="24.75" thickBot="1">
      <c r="A60" s="24" t="s">
        <v>79</v>
      </c>
      <c r="B60" s="25"/>
      <c r="C60" s="30" t="s">
        <v>77</v>
      </c>
      <c r="D60" s="25"/>
      <c r="E60" s="30"/>
      <c r="F60" s="25"/>
      <c r="G60" s="26" t="s">
        <v>78</v>
      </c>
      <c r="H60" s="25"/>
      <c r="I60" s="26" t="s">
        <v>80</v>
      </c>
    </row>
    <row r="61" spans="1:9">
      <c r="A61" s="29"/>
      <c r="B61" s="27"/>
      <c r="C61" s="29" t="s">
        <v>74</v>
      </c>
      <c r="D61" s="27"/>
      <c r="E61" s="29" t="s">
        <v>75</v>
      </c>
      <c r="F61" s="27"/>
      <c r="G61" s="29" t="s">
        <v>76</v>
      </c>
      <c r="H61" s="27"/>
      <c r="I61" s="29" t="s">
        <v>81</v>
      </c>
    </row>
    <row r="62" spans="1:9" ht="18.75">
      <c r="A62" s="7"/>
    </row>
    <row r="63" spans="1:9" ht="18.75">
      <c r="A63" s="7"/>
    </row>
    <row r="64" spans="1:9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6" spans="1:1" ht="18.75">
      <c r="A76" s="7"/>
    </row>
    <row r="77" spans="1:1" ht="18.75">
      <c r="A77" s="7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1"/>
    </row>
    <row r="85" spans="1:1" ht="15.75">
      <c r="A85" s="1"/>
    </row>
    <row r="86" spans="1:1" ht="15.75">
      <c r="A86" s="2"/>
    </row>
    <row r="87" spans="1:1" ht="15.75">
      <c r="A87" s="1" t="s">
        <v>83</v>
      </c>
    </row>
    <row r="88" spans="1:1" ht="18.75">
      <c r="A88" s="31"/>
    </row>
    <row r="89" spans="1:1" ht="15.75">
      <c r="A89" s="5" t="s">
        <v>84</v>
      </c>
    </row>
    <row r="90" spans="1:1" ht="15.75">
      <c r="A90" s="5" t="s">
        <v>85</v>
      </c>
    </row>
    <row r="91" spans="1:1" ht="15.75">
      <c r="A91" s="5" t="s">
        <v>86</v>
      </c>
    </row>
    <row r="92" spans="1:1" ht="15.75">
      <c r="A92" s="4"/>
    </row>
    <row r="93" spans="1:1" ht="15.75">
      <c r="A93" s="4"/>
    </row>
    <row r="94" spans="1:1" ht="15.75">
      <c r="A94" s="4" t="s">
        <v>9</v>
      </c>
    </row>
    <row r="95" spans="1:1" ht="18.75">
      <c r="A95" s="6"/>
    </row>
    <row r="96" spans="1:1" ht="15.75">
      <c r="A96" s="4" t="s">
        <v>87</v>
      </c>
    </row>
    <row r="97" spans="1:4" ht="15.75">
      <c r="A97" s="4"/>
    </row>
    <row r="98" spans="1:4" ht="18.75">
      <c r="A98" s="7"/>
    </row>
    <row r="99" spans="1:4" ht="16.5" thickBot="1">
      <c r="A99" s="4"/>
    </row>
    <row r="100" spans="1:4" ht="47.25">
      <c r="A100" s="191" t="s">
        <v>88</v>
      </c>
      <c r="B100" s="191" t="s">
        <v>89</v>
      </c>
      <c r="C100" s="32" t="s">
        <v>14</v>
      </c>
      <c r="D100" s="191" t="s">
        <v>92</v>
      </c>
    </row>
    <row r="101" spans="1:4" ht="31.5">
      <c r="A101" s="192"/>
      <c r="B101" s="192"/>
      <c r="C101" s="33" t="s">
        <v>90</v>
      </c>
      <c r="D101" s="192"/>
    </row>
    <row r="102" spans="1:4" ht="47.25">
      <c r="A102" s="192"/>
      <c r="B102" s="192"/>
      <c r="C102" s="33" t="s">
        <v>16</v>
      </c>
      <c r="D102" s="192"/>
    </row>
    <row r="103" spans="1:4" ht="47.25">
      <c r="A103" s="192"/>
      <c r="B103" s="192"/>
      <c r="C103" s="33" t="s">
        <v>17</v>
      </c>
      <c r="D103" s="192"/>
    </row>
    <row r="104" spans="1:4" ht="32.25" thickBot="1">
      <c r="A104" s="193"/>
      <c r="B104" s="193"/>
      <c r="C104" s="34" t="s">
        <v>91</v>
      </c>
      <c r="D104" s="193"/>
    </row>
    <row r="105" spans="1:4" ht="16.5" thickBot="1">
      <c r="A105" s="111">
        <v>1</v>
      </c>
      <c r="B105" s="34">
        <v>2</v>
      </c>
      <c r="C105" s="34">
        <v>3</v>
      </c>
      <c r="D105" s="34">
        <v>4</v>
      </c>
    </row>
    <row r="106" spans="1:4" ht="16.5" thickBot="1">
      <c r="A106" s="111" t="s">
        <v>24</v>
      </c>
      <c r="B106" s="110"/>
      <c r="C106" s="110"/>
      <c r="D106" s="35"/>
    </row>
    <row r="107" spans="1:4" ht="16.5" thickBot="1">
      <c r="A107" s="111" t="s">
        <v>93</v>
      </c>
      <c r="B107" s="110"/>
      <c r="C107" s="110"/>
      <c r="D107" s="35"/>
    </row>
    <row r="108" spans="1:4" ht="16.5" thickBot="1">
      <c r="A108" s="111" t="s">
        <v>94</v>
      </c>
      <c r="B108" s="110"/>
      <c r="C108" s="34"/>
      <c r="D108" s="35"/>
    </row>
    <row r="109" spans="1:4" ht="16.5" thickBot="1">
      <c r="A109" s="111"/>
      <c r="B109" s="110" t="s">
        <v>95</v>
      </c>
      <c r="C109" s="34"/>
      <c r="D109" s="35"/>
    </row>
    <row r="110" spans="1:4" ht="15.75">
      <c r="A110" s="191" t="s">
        <v>96</v>
      </c>
      <c r="B110" s="109" t="s">
        <v>97</v>
      </c>
      <c r="C110" s="191"/>
      <c r="D110" s="194"/>
    </row>
    <row r="111" spans="1:4" ht="16.5" thickBot="1">
      <c r="A111" s="193"/>
      <c r="B111" s="110" t="s">
        <v>98</v>
      </c>
      <c r="C111" s="193"/>
      <c r="D111" s="195"/>
    </row>
    <row r="112" spans="1:4" ht="15.75">
      <c r="A112" s="3"/>
    </row>
    <row r="113" spans="1:9" ht="15.75">
      <c r="A113" s="3"/>
    </row>
    <row r="114" spans="1:9" ht="15.75">
      <c r="A114" s="3"/>
    </row>
    <row r="115" spans="1:9" ht="60.75" thickBot="1">
      <c r="A115" s="37" t="s">
        <v>99</v>
      </c>
      <c r="B115" s="25"/>
      <c r="C115" s="26"/>
      <c r="D115" s="25"/>
      <c r="E115" s="26"/>
      <c r="F115" s="25"/>
      <c r="G115" s="26"/>
      <c r="H115" s="25"/>
      <c r="I115" s="25"/>
    </row>
    <row r="116" spans="1:9">
      <c r="A116" s="27"/>
      <c r="B116" s="27"/>
      <c r="C116" s="28" t="s">
        <v>74</v>
      </c>
      <c r="D116" s="27"/>
      <c r="E116" s="28" t="s">
        <v>75</v>
      </c>
      <c r="F116" s="27"/>
      <c r="G116" s="28" t="s">
        <v>76</v>
      </c>
      <c r="H116" s="29"/>
      <c r="I116" s="29"/>
    </row>
    <row r="117" spans="1:9" ht="24.75" thickBot="1">
      <c r="A117" s="24" t="s">
        <v>77</v>
      </c>
      <c r="B117" s="25"/>
      <c r="C117" s="26"/>
      <c r="D117" s="25"/>
      <c r="E117" s="26"/>
      <c r="F117" s="25"/>
      <c r="G117" s="25"/>
      <c r="H117" s="25"/>
      <c r="I117" s="25"/>
    </row>
    <row r="118" spans="1:9">
      <c r="A118" s="29"/>
      <c r="B118" s="27"/>
      <c r="C118" s="29" t="s">
        <v>75</v>
      </c>
      <c r="D118" s="27"/>
      <c r="E118" s="29" t="s">
        <v>76</v>
      </c>
      <c r="F118" s="27"/>
      <c r="G118" s="27"/>
      <c r="H118" s="27"/>
      <c r="I118" s="27"/>
    </row>
    <row r="119" spans="1:9" ht="24.75" thickBot="1">
      <c r="A119" s="24" t="s">
        <v>79</v>
      </c>
      <c r="B119" s="25"/>
      <c r="C119" s="30"/>
      <c r="D119" s="25"/>
      <c r="E119" s="30"/>
      <c r="F119" s="25"/>
      <c r="G119" s="26"/>
      <c r="H119" s="25"/>
      <c r="I119" s="26"/>
    </row>
    <row r="120" spans="1:9">
      <c r="A120" s="29"/>
      <c r="B120" s="27"/>
      <c r="C120" s="29" t="s">
        <v>74</v>
      </c>
      <c r="D120" s="27"/>
      <c r="E120" s="29" t="s">
        <v>75</v>
      </c>
      <c r="F120" s="27"/>
      <c r="G120" s="29" t="s">
        <v>76</v>
      </c>
      <c r="H120" s="27"/>
      <c r="I120" s="29" t="s">
        <v>81</v>
      </c>
    </row>
    <row r="121" spans="1:9" ht="18.75">
      <c r="A121" s="7"/>
    </row>
    <row r="122" spans="1:9" ht="18.75">
      <c r="A122" s="7"/>
    </row>
    <row r="123" spans="1:9" ht="18.75">
      <c r="A123" s="7"/>
    </row>
    <row r="124" spans="1:9" ht="18.75">
      <c r="A124" s="7"/>
    </row>
    <row r="125" spans="1:9" ht="18.75">
      <c r="A125" s="7"/>
    </row>
  </sheetData>
  <mergeCells count="21">
    <mergeCell ref="D20:D24"/>
    <mergeCell ref="E20:F22"/>
    <mergeCell ref="G20:G24"/>
    <mergeCell ref="H20:I23"/>
    <mergeCell ref="E23:E24"/>
    <mergeCell ref="F23:F24"/>
    <mergeCell ref="I30:I31"/>
    <mergeCell ref="A100:A104"/>
    <mergeCell ref="B100:B104"/>
    <mergeCell ref="D100:D104"/>
    <mergeCell ref="A30:A31"/>
    <mergeCell ref="B30:B31"/>
    <mergeCell ref="C30:C31"/>
    <mergeCell ref="D30:D31"/>
    <mergeCell ref="E30:E31"/>
    <mergeCell ref="F30:F31"/>
    <mergeCell ref="A110:A111"/>
    <mergeCell ref="C110:C111"/>
    <mergeCell ref="D110:D111"/>
    <mergeCell ref="G30:G31"/>
    <mergeCell ref="H30:H3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125"/>
  <sheetViews>
    <sheetView topLeftCell="A43" workbookViewId="0">
      <selection activeCell="A79" sqref="A79:A85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8.140625" customWidth="1"/>
    <col min="6" max="6" width="18.5703125" customWidth="1"/>
    <col min="7" max="7" width="18.85546875" customWidth="1"/>
    <col min="8" max="8" width="23.7109375" customWidth="1"/>
    <col min="9" max="9" width="26.5703125" customWidth="1"/>
  </cols>
  <sheetData>
    <row r="2" spans="1:9" ht="21">
      <c r="H2" s="92" t="s">
        <v>127</v>
      </c>
    </row>
    <row r="3" spans="1:9" ht="15.75">
      <c r="A3" s="1"/>
      <c r="F3" s="1"/>
      <c r="G3" s="1"/>
      <c r="H3" s="1" t="s">
        <v>0</v>
      </c>
      <c r="I3" s="1"/>
    </row>
    <row r="4" spans="1:9" ht="15.75">
      <c r="A4" s="1"/>
      <c r="F4" s="1"/>
      <c r="G4" s="1"/>
      <c r="H4" s="1" t="s">
        <v>1</v>
      </c>
      <c r="I4" s="1"/>
    </row>
    <row r="5" spans="1:9" ht="15.75">
      <c r="A5" s="1"/>
      <c r="F5" s="1"/>
      <c r="G5" s="1"/>
      <c r="H5" s="1" t="s">
        <v>2</v>
      </c>
      <c r="I5" s="1"/>
    </row>
    <row r="6" spans="1:9" ht="15.75">
      <c r="A6" s="1"/>
      <c r="F6" s="1"/>
      <c r="G6" s="1"/>
      <c r="H6" s="1" t="s">
        <v>3</v>
      </c>
      <c r="I6" s="1"/>
    </row>
    <row r="7" spans="1:9" ht="15.75">
      <c r="A7" s="1"/>
      <c r="F7" s="1"/>
      <c r="G7" s="1"/>
      <c r="H7" s="1" t="s">
        <v>4</v>
      </c>
      <c r="I7" s="1"/>
    </row>
    <row r="8" spans="1:9" ht="15.75">
      <c r="A8" s="1"/>
      <c r="F8" s="1"/>
      <c r="G8" s="1"/>
      <c r="H8" s="1" t="s">
        <v>5</v>
      </c>
      <c r="I8" s="1"/>
    </row>
    <row r="9" spans="1:9" ht="15.75">
      <c r="A9" s="1"/>
      <c r="F9" s="1"/>
      <c r="G9" s="1"/>
      <c r="H9" s="1" t="s">
        <v>6</v>
      </c>
      <c r="I9" s="1"/>
    </row>
    <row r="10" spans="1:9" ht="15.75">
      <c r="A10" s="2"/>
      <c r="F10" s="2"/>
      <c r="G10" s="2"/>
      <c r="H10" s="2" t="s">
        <v>7</v>
      </c>
      <c r="I10" s="2"/>
    </row>
    <row r="11" spans="1:9" ht="15.75">
      <c r="A11" s="1"/>
      <c r="F11" s="1"/>
      <c r="G11" s="1"/>
      <c r="H11" s="1" t="s">
        <v>8</v>
      </c>
      <c r="I11" s="1"/>
    </row>
    <row r="12" spans="1:9" ht="15.75">
      <c r="A12" s="4"/>
    </row>
    <row r="13" spans="1:9" ht="18.75">
      <c r="A13" s="5"/>
      <c r="B13" s="49" t="s">
        <v>103</v>
      </c>
      <c r="C13" s="49"/>
      <c r="D13" s="49"/>
      <c r="E13" s="48"/>
    </row>
    <row r="14" spans="1:9" ht="15.75">
      <c r="B14" s="50" t="s">
        <v>100</v>
      </c>
      <c r="C14" s="51"/>
      <c r="D14" s="51"/>
      <c r="E14" s="51"/>
    </row>
    <row r="15" spans="1:9" ht="15.75">
      <c r="A15" s="4"/>
      <c r="B15" s="43"/>
      <c r="C15" s="43"/>
      <c r="D15" s="43"/>
      <c r="E15" s="43"/>
    </row>
    <row r="16" spans="1:9" ht="26.25">
      <c r="A16" s="6"/>
      <c r="B16" s="51" t="s">
        <v>129</v>
      </c>
      <c r="C16" s="43"/>
      <c r="D16" s="43"/>
      <c r="E16" s="43"/>
      <c r="H16" s="52">
        <v>2</v>
      </c>
    </row>
    <row r="17" spans="1:9" ht="15.75">
      <c r="A17" s="4"/>
      <c r="B17" s="43"/>
      <c r="C17" s="43"/>
      <c r="D17" s="43"/>
      <c r="E17" s="43"/>
    </row>
    <row r="18" spans="1:9" ht="15.75">
      <c r="A18" s="4"/>
      <c r="B18" s="4"/>
    </row>
    <row r="19" spans="1:9" ht="19.5" thickBot="1">
      <c r="A19" s="7"/>
    </row>
    <row r="20" spans="1:9" ht="47.25">
      <c r="A20" s="113" t="s">
        <v>10</v>
      </c>
      <c r="B20" s="116" t="s">
        <v>12</v>
      </c>
      <c r="C20" s="116" t="s">
        <v>14</v>
      </c>
      <c r="D20" s="179" t="s">
        <v>19</v>
      </c>
      <c r="E20" s="182" t="s">
        <v>20</v>
      </c>
      <c r="F20" s="183"/>
      <c r="G20" s="182" t="s">
        <v>21</v>
      </c>
      <c r="H20" s="196" t="s">
        <v>20</v>
      </c>
      <c r="I20" s="197"/>
    </row>
    <row r="21" spans="1:9" ht="31.5">
      <c r="A21" s="115" t="s">
        <v>11</v>
      </c>
      <c r="B21" s="117" t="s">
        <v>13</v>
      </c>
      <c r="C21" s="117" t="s">
        <v>15</v>
      </c>
      <c r="D21" s="180"/>
      <c r="E21" s="184"/>
      <c r="F21" s="185"/>
      <c r="G21" s="184"/>
      <c r="H21" s="198"/>
      <c r="I21" s="199"/>
    </row>
    <row r="22" spans="1:9" ht="48" thickBot="1">
      <c r="A22" s="8"/>
      <c r="B22" s="10"/>
      <c r="C22" s="117" t="s">
        <v>16</v>
      </c>
      <c r="D22" s="180"/>
      <c r="E22" s="186"/>
      <c r="F22" s="187"/>
      <c r="G22" s="184"/>
      <c r="H22" s="198"/>
      <c r="I22" s="199"/>
    </row>
    <row r="23" spans="1:9" ht="47.25">
      <c r="A23" s="8"/>
      <c r="B23" s="10"/>
      <c r="C23" s="117" t="s">
        <v>17</v>
      </c>
      <c r="D23" s="180"/>
      <c r="E23" s="189">
        <v>130</v>
      </c>
      <c r="F23" s="189">
        <v>180</v>
      </c>
      <c r="G23" s="184"/>
      <c r="H23" s="200"/>
      <c r="I23" s="201"/>
    </row>
    <row r="24" spans="1:9" ht="32.25" thickBot="1">
      <c r="A24" s="9"/>
      <c r="B24" s="11"/>
      <c r="C24" s="118" t="s">
        <v>18</v>
      </c>
      <c r="D24" s="181"/>
      <c r="E24" s="190"/>
      <c r="F24" s="190"/>
      <c r="G24" s="181"/>
      <c r="H24" s="53">
        <v>130</v>
      </c>
      <c r="I24" s="53">
        <v>180</v>
      </c>
    </row>
    <row r="25" spans="1:9" ht="16.5" thickBot="1">
      <c r="A25" s="114">
        <v>1</v>
      </c>
      <c r="B25" s="118">
        <v>2</v>
      </c>
      <c r="C25" s="118">
        <v>3</v>
      </c>
      <c r="D25" s="118">
        <v>4</v>
      </c>
      <c r="E25" s="118"/>
      <c r="F25" s="118"/>
      <c r="G25" s="118"/>
      <c r="H25" s="118">
        <v>5</v>
      </c>
      <c r="I25" s="118">
        <v>6</v>
      </c>
    </row>
    <row r="26" spans="1:9" ht="19.5" thickBot="1">
      <c r="A26" s="114" t="s">
        <v>24</v>
      </c>
      <c r="B26" s="118" t="s">
        <v>105</v>
      </c>
      <c r="C26" s="118" t="s">
        <v>26</v>
      </c>
      <c r="D26" s="118">
        <f>E26+F26</f>
        <v>1894860</v>
      </c>
      <c r="E26" s="118">
        <v>1594860</v>
      </c>
      <c r="F26" s="118">
        <v>300000</v>
      </c>
      <c r="G26" s="53">
        <f>H26+I26</f>
        <v>1894860</v>
      </c>
      <c r="H26" s="118">
        <v>1594860</v>
      </c>
      <c r="I26" s="118">
        <v>300000</v>
      </c>
    </row>
    <row r="27" spans="1:9" ht="19.5" thickBot="1">
      <c r="A27" s="114"/>
      <c r="B27" s="118" t="s">
        <v>106</v>
      </c>
      <c r="C27" s="118" t="s">
        <v>26</v>
      </c>
      <c r="D27" s="118">
        <v>7525.82</v>
      </c>
      <c r="E27" s="118">
        <v>7525.82</v>
      </c>
      <c r="F27" s="118"/>
      <c r="G27" s="53">
        <v>7525.82</v>
      </c>
      <c r="H27" s="118">
        <v>7525.82</v>
      </c>
      <c r="I27" s="118"/>
    </row>
    <row r="28" spans="1:9" ht="19.5" thickBot="1">
      <c r="A28" s="114"/>
      <c r="B28" s="118" t="s">
        <v>113</v>
      </c>
      <c r="C28" s="118"/>
      <c r="D28" s="118">
        <f>E28+F28</f>
        <v>152430.22999999998</v>
      </c>
      <c r="E28" s="118">
        <v>111520.73</v>
      </c>
      <c r="F28" s="118">
        <v>40909.5</v>
      </c>
      <c r="G28" s="53">
        <f>H28+I28</f>
        <v>152430.22999999998</v>
      </c>
      <c r="H28" s="118">
        <v>111520.73</v>
      </c>
      <c r="I28" s="118">
        <v>40909.5</v>
      </c>
    </row>
    <row r="29" spans="1:9" ht="38.25" customHeight="1" thickBot="1">
      <c r="A29" s="114" t="s">
        <v>27</v>
      </c>
      <c r="B29" s="118" t="s">
        <v>112</v>
      </c>
      <c r="C29" s="118" t="s">
        <v>29</v>
      </c>
      <c r="D29" s="118">
        <f>E29+F29</f>
        <v>159956.04999999999</v>
      </c>
      <c r="E29" s="118">
        <f>E27+E28</f>
        <v>119046.54999999999</v>
      </c>
      <c r="F29" s="118">
        <f>F28</f>
        <v>40909.5</v>
      </c>
      <c r="G29" s="39">
        <f>G27+G28</f>
        <v>159956.04999999999</v>
      </c>
      <c r="H29" s="39">
        <f>H27+H28</f>
        <v>119046.54999999999</v>
      </c>
      <c r="I29" s="39">
        <f>I28</f>
        <v>40909.5</v>
      </c>
    </row>
    <row r="30" spans="1:9" ht="27" customHeight="1">
      <c r="A30" s="179" t="s">
        <v>30</v>
      </c>
      <c r="B30" s="179" t="s">
        <v>132</v>
      </c>
      <c r="C30" s="179" t="s">
        <v>32</v>
      </c>
      <c r="D30" s="179">
        <f>E30+F30</f>
        <v>48697.2</v>
      </c>
      <c r="E30" s="179">
        <v>0</v>
      </c>
      <c r="F30" s="179">
        <v>48697.2</v>
      </c>
      <c r="G30" s="179">
        <f>H30+I30</f>
        <v>1308788.3699999999</v>
      </c>
      <c r="H30" s="179">
        <f>396192.13+192611.07+223448.75+228063.3+12689.92+103776</f>
        <v>1156781.17</v>
      </c>
      <c r="I30" s="179">
        <v>152007.20000000001</v>
      </c>
    </row>
    <row r="31" spans="1:9" ht="24" customHeight="1" thickBot="1">
      <c r="A31" s="181"/>
      <c r="B31" s="181"/>
      <c r="C31" s="181"/>
      <c r="D31" s="181"/>
      <c r="E31" s="181"/>
      <c r="F31" s="181"/>
      <c r="G31" s="180"/>
      <c r="H31" s="181"/>
      <c r="I31" s="181"/>
    </row>
    <row r="32" spans="1:9" ht="47.25" customHeight="1" thickBot="1">
      <c r="A32" s="41" t="s">
        <v>33</v>
      </c>
      <c r="B32" s="38" t="s">
        <v>34</v>
      </c>
      <c r="C32" s="38">
        <v>900</v>
      </c>
      <c r="D32" s="38">
        <f>D34+D39+D46+D49+D50</f>
        <v>102447.07</v>
      </c>
      <c r="E32" s="38">
        <f>E34+E39+E46+E49+E50</f>
        <v>74967.070000000007</v>
      </c>
      <c r="F32" s="97">
        <f>F34+F5039+F46+F49+F50</f>
        <v>27480</v>
      </c>
      <c r="G32" s="98">
        <f t="shared" ref="G32" si="0">H32+I32</f>
        <v>1210108.01</v>
      </c>
      <c r="H32" s="38">
        <f>H34+H39+H46+H49+H50</f>
        <v>1120227.51</v>
      </c>
      <c r="I32" s="38">
        <f>I34+I39+I46+I49+I50</f>
        <v>89880.5</v>
      </c>
    </row>
    <row r="33" spans="1:9" ht="16.5" thickBot="1">
      <c r="A33" s="114"/>
      <c r="B33" s="118" t="s">
        <v>35</v>
      </c>
      <c r="C33" s="118"/>
      <c r="D33" s="118"/>
      <c r="E33" s="118"/>
      <c r="F33" s="93"/>
      <c r="G33" s="95"/>
      <c r="H33" s="118"/>
      <c r="I33" s="118"/>
    </row>
    <row r="34" spans="1:9" ht="32.25" thickBot="1">
      <c r="A34" s="114" t="s">
        <v>36</v>
      </c>
      <c r="B34" s="118" t="s">
        <v>37</v>
      </c>
      <c r="C34" s="13">
        <v>210</v>
      </c>
      <c r="D34" s="13">
        <f>D36+D37+D38</f>
        <v>197.17</v>
      </c>
      <c r="E34" s="13">
        <f t="shared" ref="E34:F34" si="1">E36+E37+E38</f>
        <v>197.17</v>
      </c>
      <c r="F34" s="99">
        <f t="shared" si="1"/>
        <v>0</v>
      </c>
      <c r="G34" s="100">
        <f t="shared" ref="G34" si="2">H34+I34</f>
        <v>24575.84</v>
      </c>
      <c r="H34" s="13">
        <f>H36+H37+H38</f>
        <v>24575.84</v>
      </c>
      <c r="I34" s="13">
        <f>I36+I37+I38</f>
        <v>0</v>
      </c>
    </row>
    <row r="35" spans="1:9" ht="16.5" thickBot="1">
      <c r="A35" s="114"/>
      <c r="B35" s="118" t="s">
        <v>38</v>
      </c>
      <c r="C35" s="118"/>
      <c r="D35" s="118"/>
      <c r="E35" s="118"/>
      <c r="F35" s="93"/>
      <c r="G35" s="95"/>
      <c r="H35" s="118"/>
      <c r="I35" s="118"/>
    </row>
    <row r="36" spans="1:9" ht="16.5" thickBot="1">
      <c r="A36" s="114" t="s">
        <v>39</v>
      </c>
      <c r="B36" s="118" t="s">
        <v>40</v>
      </c>
      <c r="C36" s="118">
        <v>211</v>
      </c>
      <c r="D36" s="118">
        <f>E36+F36</f>
        <v>59</v>
      </c>
      <c r="E36" s="118">
        <v>59</v>
      </c>
      <c r="F36" s="93"/>
      <c r="G36" s="95">
        <f t="shared" ref="G36" si="3">H36+I36</f>
        <v>19019.62</v>
      </c>
      <c r="H36" s="118">
        <v>19019.62</v>
      </c>
      <c r="I36" s="118"/>
    </row>
    <row r="37" spans="1:9" ht="16.5" thickBot="1">
      <c r="A37" s="114" t="s">
        <v>41</v>
      </c>
      <c r="B37" s="118" t="s">
        <v>42</v>
      </c>
      <c r="C37" s="118">
        <v>212</v>
      </c>
      <c r="D37" s="118">
        <v>0</v>
      </c>
      <c r="E37" s="118"/>
      <c r="F37" s="93"/>
      <c r="G37" s="95"/>
      <c r="H37" s="118"/>
      <c r="I37" s="118">
        <v>0</v>
      </c>
    </row>
    <row r="38" spans="1:9" ht="16.5" thickBot="1">
      <c r="A38" s="114" t="s">
        <v>43</v>
      </c>
      <c r="B38" s="118" t="s">
        <v>44</v>
      </c>
      <c r="C38" s="118">
        <v>213</v>
      </c>
      <c r="D38" s="118">
        <f>E38+F38</f>
        <v>138.16999999999999</v>
      </c>
      <c r="E38" s="118">
        <v>138.16999999999999</v>
      </c>
      <c r="F38" s="93"/>
      <c r="G38" s="95">
        <f t="shared" ref="G38" si="4">H38+I38</f>
        <v>5556.22</v>
      </c>
      <c r="H38" s="118">
        <v>5556.22</v>
      </c>
      <c r="I38" s="118">
        <v>0</v>
      </c>
    </row>
    <row r="39" spans="1:9" ht="16.5" thickBot="1">
      <c r="A39" s="114" t="s">
        <v>45</v>
      </c>
      <c r="B39" s="118" t="s">
        <v>46</v>
      </c>
      <c r="C39" s="14">
        <v>220</v>
      </c>
      <c r="D39" s="14">
        <f t="shared" ref="D39:I39" si="5">D41+D42+D43+D44+D45</f>
        <v>8769.9</v>
      </c>
      <c r="E39" s="14">
        <f t="shared" si="5"/>
        <v>8769.9</v>
      </c>
      <c r="F39" s="96">
        <f t="shared" si="5"/>
        <v>0</v>
      </c>
      <c r="G39" s="100">
        <f>H39</f>
        <v>25844.67</v>
      </c>
      <c r="H39" s="14">
        <f t="shared" si="5"/>
        <v>25844.67</v>
      </c>
      <c r="I39" s="14">
        <f t="shared" si="5"/>
        <v>0</v>
      </c>
    </row>
    <row r="40" spans="1:9" ht="16.5" thickBot="1">
      <c r="A40" s="114"/>
      <c r="B40" s="118" t="s">
        <v>38</v>
      </c>
      <c r="C40" s="118"/>
      <c r="D40" s="118"/>
      <c r="E40" s="118"/>
      <c r="F40" s="93"/>
      <c r="G40" s="95">
        <f t="shared" ref="G40" si="6">H40+I40</f>
        <v>0</v>
      </c>
      <c r="H40" s="118"/>
      <c r="I40" s="118"/>
    </row>
    <row r="41" spans="1:9" ht="16.5" thickBot="1">
      <c r="A41" s="114" t="s">
        <v>47</v>
      </c>
      <c r="B41" s="118" t="s">
        <v>48</v>
      </c>
      <c r="C41" s="118">
        <v>221</v>
      </c>
      <c r="D41" s="118">
        <v>0</v>
      </c>
      <c r="E41" s="118"/>
      <c r="F41" s="93"/>
      <c r="G41" s="95"/>
      <c r="H41" s="118"/>
      <c r="I41" s="118"/>
    </row>
    <row r="42" spans="1:9" ht="26.25" customHeight="1" thickBot="1">
      <c r="A42" s="114" t="s">
        <v>49</v>
      </c>
      <c r="B42" s="118" t="s">
        <v>50</v>
      </c>
      <c r="C42" s="118">
        <v>222</v>
      </c>
      <c r="D42" s="118">
        <v>0</v>
      </c>
      <c r="E42" s="118"/>
      <c r="F42" s="93"/>
      <c r="G42" s="95">
        <f t="shared" ref="G42" si="7">H42+I42</f>
        <v>0</v>
      </c>
      <c r="H42" s="118"/>
      <c r="I42" s="118"/>
    </row>
    <row r="43" spans="1:9" ht="29.25" customHeight="1" thickBot="1">
      <c r="A43" s="114" t="s">
        <v>51</v>
      </c>
      <c r="B43" s="118" t="s">
        <v>52</v>
      </c>
      <c r="C43" s="118">
        <v>223</v>
      </c>
      <c r="D43" s="118">
        <v>0</v>
      </c>
      <c r="E43" s="118"/>
      <c r="F43" s="93"/>
      <c r="G43" s="95"/>
      <c r="H43" s="118"/>
      <c r="I43" s="118"/>
    </row>
    <row r="44" spans="1:9" ht="16.5" thickBot="1">
      <c r="A44" s="114" t="s">
        <v>53</v>
      </c>
      <c r="B44" s="118" t="s">
        <v>54</v>
      </c>
      <c r="C44" s="118">
        <v>225</v>
      </c>
      <c r="D44" s="118">
        <v>0</v>
      </c>
      <c r="E44" s="118"/>
      <c r="F44" s="93"/>
      <c r="G44" s="95">
        <f t="shared" ref="G44" si="8">H44+I44</f>
        <v>0</v>
      </c>
      <c r="H44" s="118"/>
      <c r="I44" s="118">
        <v>0</v>
      </c>
    </row>
    <row r="45" spans="1:9" ht="30" customHeight="1" thickBot="1">
      <c r="A45" s="114" t="s">
        <v>55</v>
      </c>
      <c r="B45" s="118" t="s">
        <v>56</v>
      </c>
      <c r="C45" s="118">
        <v>226</v>
      </c>
      <c r="D45" s="118">
        <f>E45+F45</f>
        <v>8769.9</v>
      </c>
      <c r="E45" s="118">
        <v>8769.9</v>
      </c>
      <c r="F45" s="93"/>
      <c r="G45" s="95">
        <f>H45</f>
        <v>25844.67</v>
      </c>
      <c r="H45" s="118">
        <v>25844.67</v>
      </c>
      <c r="I45" s="118">
        <v>0</v>
      </c>
    </row>
    <row r="46" spans="1:9" ht="16.5" thickBot="1">
      <c r="A46" s="114" t="s">
        <v>57</v>
      </c>
      <c r="B46" s="118" t="s">
        <v>58</v>
      </c>
      <c r="C46" s="14">
        <v>260</v>
      </c>
      <c r="D46" s="14">
        <f t="shared" ref="D46:I46" si="9">D48</f>
        <v>0</v>
      </c>
      <c r="E46" s="14">
        <f t="shared" si="9"/>
        <v>0</v>
      </c>
      <c r="F46" s="96">
        <f t="shared" si="9"/>
        <v>0</v>
      </c>
      <c r="G46" s="100">
        <f t="shared" ref="G46" si="10">H46+I46</f>
        <v>0</v>
      </c>
      <c r="H46" s="14">
        <f t="shared" si="9"/>
        <v>0</v>
      </c>
      <c r="I46" s="14">
        <f t="shared" si="9"/>
        <v>0</v>
      </c>
    </row>
    <row r="47" spans="1:9" ht="16.5" thickBot="1">
      <c r="A47" s="114"/>
      <c r="B47" s="118" t="s">
        <v>38</v>
      </c>
      <c r="C47" s="118"/>
      <c r="D47" s="118"/>
      <c r="E47" s="118"/>
      <c r="F47" s="93"/>
      <c r="G47" s="95"/>
      <c r="H47" s="118"/>
      <c r="I47" s="118"/>
    </row>
    <row r="48" spans="1:9" ht="16.5" thickBot="1">
      <c r="A48" s="114" t="s">
        <v>59</v>
      </c>
      <c r="B48" s="118" t="s">
        <v>60</v>
      </c>
      <c r="C48" s="118">
        <v>262</v>
      </c>
      <c r="D48" s="118"/>
      <c r="E48" s="118"/>
      <c r="F48" s="93"/>
      <c r="G48" s="95">
        <f t="shared" ref="G48" si="11">H48+I48</f>
        <v>0</v>
      </c>
      <c r="H48" s="118"/>
      <c r="I48" s="118">
        <v>0</v>
      </c>
    </row>
    <row r="49" spans="1:9" ht="38.25" customHeight="1" thickBot="1">
      <c r="A49" s="114" t="s">
        <v>61</v>
      </c>
      <c r="B49" s="118" t="s">
        <v>62</v>
      </c>
      <c r="C49" s="14">
        <v>290</v>
      </c>
      <c r="D49" s="14">
        <f>E49</f>
        <v>0</v>
      </c>
      <c r="E49" s="14">
        <v>0</v>
      </c>
      <c r="F49" s="96">
        <v>0</v>
      </c>
      <c r="G49" s="101">
        <f>H49</f>
        <v>7197</v>
      </c>
      <c r="H49" s="14">
        <f>4909+2288</f>
        <v>7197</v>
      </c>
      <c r="I49" s="14">
        <v>0</v>
      </c>
    </row>
    <row r="50" spans="1:9" ht="33" customHeight="1" thickBot="1">
      <c r="A50" s="114" t="s">
        <v>63</v>
      </c>
      <c r="B50" s="118" t="s">
        <v>64</v>
      </c>
      <c r="C50" s="14">
        <v>300</v>
      </c>
      <c r="D50" s="14">
        <f>E50+F50</f>
        <v>93480</v>
      </c>
      <c r="E50" s="14">
        <f t="shared" ref="E50:I50" si="12">E52+E53</f>
        <v>66000</v>
      </c>
      <c r="F50" s="96">
        <f t="shared" si="12"/>
        <v>27480</v>
      </c>
      <c r="G50" s="101">
        <f t="shared" ref="G50" si="13">H50+I50</f>
        <v>1152490.5</v>
      </c>
      <c r="H50" s="14">
        <f t="shared" si="12"/>
        <v>1062610</v>
      </c>
      <c r="I50" s="14">
        <f t="shared" si="12"/>
        <v>89880.5</v>
      </c>
    </row>
    <row r="51" spans="1:9" ht="16.5" thickBot="1">
      <c r="A51" s="114"/>
      <c r="B51" s="118" t="s">
        <v>38</v>
      </c>
      <c r="C51" s="118"/>
      <c r="D51" s="118"/>
      <c r="E51" s="118"/>
      <c r="F51" s="93"/>
      <c r="G51" s="102"/>
      <c r="H51" s="118"/>
      <c r="I51" s="118"/>
    </row>
    <row r="52" spans="1:9" ht="16.5" thickBot="1">
      <c r="A52" s="114" t="s">
        <v>65</v>
      </c>
      <c r="B52" s="118" t="s">
        <v>66</v>
      </c>
      <c r="C52" s="118">
        <v>310</v>
      </c>
      <c r="D52" s="118">
        <f>E52+F52</f>
        <v>66000</v>
      </c>
      <c r="E52" s="118">
        <v>50000</v>
      </c>
      <c r="F52" s="135">
        <v>16000</v>
      </c>
      <c r="G52" s="102">
        <f>H52+I52</f>
        <v>156055</v>
      </c>
      <c r="H52" s="118">
        <v>140055</v>
      </c>
      <c r="I52" s="118">
        <v>16000</v>
      </c>
    </row>
    <row r="53" spans="1:9" ht="16.5" thickBot="1">
      <c r="A53" s="114" t="s">
        <v>67</v>
      </c>
      <c r="B53" s="118" t="s">
        <v>68</v>
      </c>
      <c r="C53" s="118">
        <v>340</v>
      </c>
      <c r="D53" s="118">
        <f>E53+F53</f>
        <v>27480</v>
      </c>
      <c r="E53" s="118">
        <v>16000</v>
      </c>
      <c r="F53" s="93">
        <v>11480</v>
      </c>
      <c r="G53" s="102">
        <f>H53+I53</f>
        <v>996435.5</v>
      </c>
      <c r="H53" s="118">
        <v>922555</v>
      </c>
      <c r="I53" s="118">
        <v>73880.5</v>
      </c>
    </row>
    <row r="54" spans="1:9" ht="32.25" thickBot="1">
      <c r="A54" s="15" t="s">
        <v>69</v>
      </c>
      <c r="B54" s="16" t="s">
        <v>70</v>
      </c>
      <c r="C54" s="16" t="s">
        <v>26</v>
      </c>
      <c r="D54" s="120">
        <f>D29+D30-D32</f>
        <v>106206.18</v>
      </c>
      <c r="E54" s="120">
        <f>E29+E30-E32</f>
        <v>44079.479999999981</v>
      </c>
      <c r="F54" s="120">
        <f>F29+F30-F32</f>
        <v>62126.7</v>
      </c>
      <c r="G54" s="120">
        <f>G30-G32+G27</f>
        <v>106206.17999999988</v>
      </c>
      <c r="H54" s="120">
        <f>H30-H32+H27</f>
        <v>44079.479999999916</v>
      </c>
      <c r="I54" s="120">
        <f>I30-I32</f>
        <v>62126.700000000012</v>
      </c>
    </row>
    <row r="55" spans="1:9" ht="18.75">
      <c r="A55" s="23"/>
    </row>
    <row r="56" spans="1:9" ht="60.75" thickBot="1">
      <c r="A56" s="24" t="s">
        <v>71</v>
      </c>
      <c r="B56" s="25"/>
      <c r="C56" s="26" t="s">
        <v>72</v>
      </c>
      <c r="D56" s="25"/>
      <c r="E56" s="26"/>
      <c r="F56" s="25"/>
      <c r="G56" s="26" t="s">
        <v>73</v>
      </c>
      <c r="H56" s="25"/>
      <c r="I56" s="25"/>
    </row>
    <row r="57" spans="1:9">
      <c r="A57" s="27"/>
      <c r="B57" s="27"/>
      <c r="C57" s="28" t="s">
        <v>74</v>
      </c>
      <c r="D57" s="27"/>
      <c r="E57" s="28" t="s">
        <v>75</v>
      </c>
      <c r="F57" s="27"/>
      <c r="G57" s="28" t="s">
        <v>76</v>
      </c>
      <c r="H57" s="29"/>
      <c r="I57" s="29"/>
    </row>
    <row r="58" spans="1:9" ht="24.75" thickBot="1">
      <c r="A58" s="24" t="s">
        <v>77</v>
      </c>
      <c r="B58" s="25"/>
      <c r="C58" s="26"/>
      <c r="D58" s="25"/>
      <c r="E58" s="26" t="s">
        <v>78</v>
      </c>
      <c r="F58" s="25"/>
      <c r="G58" s="25"/>
      <c r="H58" s="25"/>
      <c r="I58" s="25"/>
    </row>
    <row r="59" spans="1:9">
      <c r="A59" s="29"/>
      <c r="B59" s="27"/>
      <c r="C59" s="29" t="s">
        <v>75</v>
      </c>
      <c r="D59" s="27"/>
      <c r="E59" s="29" t="s">
        <v>76</v>
      </c>
      <c r="F59" s="27"/>
      <c r="G59" s="27"/>
      <c r="H59" s="27"/>
      <c r="I59" s="27"/>
    </row>
    <row r="60" spans="1:9" ht="24.75" thickBot="1">
      <c r="A60" s="24" t="s">
        <v>79</v>
      </c>
      <c r="B60" s="25"/>
      <c r="C60" s="30" t="s">
        <v>77</v>
      </c>
      <c r="D60" s="25"/>
      <c r="E60" s="30"/>
      <c r="F60" s="25"/>
      <c r="G60" s="26" t="s">
        <v>78</v>
      </c>
      <c r="H60" s="25"/>
      <c r="I60" s="26" t="s">
        <v>80</v>
      </c>
    </row>
    <row r="61" spans="1:9">
      <c r="A61" s="29"/>
      <c r="B61" s="27"/>
      <c r="C61" s="29" t="s">
        <v>74</v>
      </c>
      <c r="D61" s="27"/>
      <c r="E61" s="29" t="s">
        <v>75</v>
      </c>
      <c r="F61" s="27"/>
      <c r="G61" s="29" t="s">
        <v>76</v>
      </c>
      <c r="H61" s="27"/>
      <c r="I61" s="29" t="s">
        <v>81</v>
      </c>
    </row>
    <row r="62" spans="1:9" ht="18.75">
      <c r="A62" s="7"/>
    </row>
    <row r="63" spans="1:9" ht="18.75">
      <c r="A63" s="7"/>
    </row>
    <row r="64" spans="1:9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6" spans="1:1" ht="18.75">
      <c r="A76" s="7"/>
    </row>
    <row r="77" spans="1:1" ht="18.75">
      <c r="A77" s="7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1"/>
    </row>
    <row r="85" spans="1:1" ht="15.75">
      <c r="A85" s="1"/>
    </row>
    <row r="86" spans="1:1" ht="15.75">
      <c r="A86" s="2" t="s">
        <v>7</v>
      </c>
    </row>
    <row r="87" spans="1:1" ht="15.75">
      <c r="A87" s="1" t="s">
        <v>83</v>
      </c>
    </row>
    <row r="88" spans="1:1" ht="18.75">
      <c r="A88" s="31"/>
    </row>
    <row r="89" spans="1:1" ht="15.75">
      <c r="A89" s="5" t="s">
        <v>84</v>
      </c>
    </row>
    <row r="90" spans="1:1" ht="15.75">
      <c r="A90" s="5" t="s">
        <v>85</v>
      </c>
    </row>
    <row r="91" spans="1:1" ht="15.75">
      <c r="A91" s="5" t="s">
        <v>86</v>
      </c>
    </row>
    <row r="92" spans="1:1" ht="15.75">
      <c r="A92" s="4"/>
    </row>
    <row r="93" spans="1:1" ht="15.75">
      <c r="A93" s="4"/>
    </row>
    <row r="94" spans="1:1" ht="15.75">
      <c r="A94" s="4" t="s">
        <v>9</v>
      </c>
    </row>
    <row r="95" spans="1:1" ht="18.75">
      <c r="A95" s="6"/>
    </row>
    <row r="96" spans="1:1" ht="15.75">
      <c r="A96" s="4" t="s">
        <v>87</v>
      </c>
    </row>
    <row r="97" spans="1:4" ht="15.75">
      <c r="A97" s="4"/>
    </row>
    <row r="98" spans="1:4" ht="18.75">
      <c r="A98" s="7"/>
    </row>
    <row r="99" spans="1:4" ht="16.5" thickBot="1">
      <c r="A99" s="4"/>
    </row>
    <row r="100" spans="1:4" ht="47.25">
      <c r="A100" s="191" t="s">
        <v>88</v>
      </c>
      <c r="B100" s="191" t="s">
        <v>89</v>
      </c>
      <c r="C100" s="32" t="s">
        <v>14</v>
      </c>
      <c r="D100" s="191" t="s">
        <v>92</v>
      </c>
    </row>
    <row r="101" spans="1:4" ht="31.5">
      <c r="A101" s="192"/>
      <c r="B101" s="192"/>
      <c r="C101" s="33" t="s">
        <v>90</v>
      </c>
      <c r="D101" s="192"/>
    </row>
    <row r="102" spans="1:4" ht="47.25">
      <c r="A102" s="192"/>
      <c r="B102" s="192"/>
      <c r="C102" s="33" t="s">
        <v>16</v>
      </c>
      <c r="D102" s="192"/>
    </row>
    <row r="103" spans="1:4" ht="47.25">
      <c r="A103" s="192"/>
      <c r="B103" s="192"/>
      <c r="C103" s="33" t="s">
        <v>17</v>
      </c>
      <c r="D103" s="192"/>
    </row>
    <row r="104" spans="1:4" ht="32.25" thickBot="1">
      <c r="A104" s="193"/>
      <c r="B104" s="193"/>
      <c r="C104" s="34" t="s">
        <v>91</v>
      </c>
      <c r="D104" s="193"/>
    </row>
    <row r="105" spans="1:4" ht="16.5" thickBot="1">
      <c r="A105" s="112">
        <v>1</v>
      </c>
      <c r="B105" s="34">
        <v>2</v>
      </c>
      <c r="C105" s="34">
        <v>3</v>
      </c>
      <c r="D105" s="34">
        <v>4</v>
      </c>
    </row>
    <row r="106" spans="1:4" ht="16.5" thickBot="1">
      <c r="A106" s="112" t="s">
        <v>24</v>
      </c>
      <c r="B106" s="118"/>
      <c r="C106" s="118"/>
      <c r="D106" s="35"/>
    </row>
    <row r="107" spans="1:4" ht="16.5" thickBot="1">
      <c r="A107" s="112" t="s">
        <v>93</v>
      </c>
      <c r="B107" s="118"/>
      <c r="C107" s="118"/>
      <c r="D107" s="35"/>
    </row>
    <row r="108" spans="1:4" ht="16.5" thickBot="1">
      <c r="A108" s="112" t="s">
        <v>94</v>
      </c>
      <c r="B108" s="118"/>
      <c r="C108" s="34"/>
      <c r="D108" s="35"/>
    </row>
    <row r="109" spans="1:4" ht="16.5" thickBot="1">
      <c r="A109" s="112"/>
      <c r="B109" s="118" t="s">
        <v>95</v>
      </c>
      <c r="C109" s="34"/>
      <c r="D109" s="35"/>
    </row>
    <row r="110" spans="1:4" ht="15.75">
      <c r="A110" s="191" t="s">
        <v>96</v>
      </c>
      <c r="B110" s="117" t="s">
        <v>97</v>
      </c>
      <c r="C110" s="191"/>
      <c r="D110" s="194"/>
    </row>
    <row r="111" spans="1:4" ht="16.5" thickBot="1">
      <c r="A111" s="193"/>
      <c r="B111" s="118" t="s">
        <v>98</v>
      </c>
      <c r="C111" s="193"/>
      <c r="D111" s="195"/>
    </row>
    <row r="112" spans="1:4" ht="15.75">
      <c r="A112" s="3"/>
    </row>
    <row r="113" spans="1:9" ht="15.75">
      <c r="A113" s="3"/>
    </row>
    <row r="114" spans="1:9" ht="15.75">
      <c r="A114" s="3"/>
    </row>
    <row r="115" spans="1:9" ht="60.75" thickBot="1">
      <c r="A115" s="37" t="s">
        <v>99</v>
      </c>
      <c r="B115" s="25"/>
      <c r="C115" s="26"/>
      <c r="D115" s="25"/>
      <c r="E115" s="26"/>
      <c r="F115" s="25"/>
      <c r="G115" s="26"/>
      <c r="H115" s="25"/>
      <c r="I115" s="25"/>
    </row>
    <row r="116" spans="1:9">
      <c r="A116" s="27"/>
      <c r="B116" s="27"/>
      <c r="C116" s="28" t="s">
        <v>74</v>
      </c>
      <c r="D116" s="27"/>
      <c r="E116" s="28" t="s">
        <v>75</v>
      </c>
      <c r="F116" s="27"/>
      <c r="G116" s="28" t="s">
        <v>76</v>
      </c>
      <c r="H116" s="29"/>
      <c r="I116" s="29"/>
    </row>
    <row r="117" spans="1:9" ht="24.75" thickBot="1">
      <c r="A117" s="24" t="s">
        <v>77</v>
      </c>
      <c r="B117" s="25"/>
      <c r="C117" s="26"/>
      <c r="D117" s="25"/>
      <c r="E117" s="26"/>
      <c r="F117" s="25"/>
      <c r="G117" s="25"/>
      <c r="H117" s="25"/>
      <c r="I117" s="25"/>
    </row>
    <row r="118" spans="1:9">
      <c r="A118" s="29"/>
      <c r="B118" s="27"/>
      <c r="C118" s="29" t="s">
        <v>75</v>
      </c>
      <c r="D118" s="27"/>
      <c r="E118" s="29" t="s">
        <v>76</v>
      </c>
      <c r="F118" s="27"/>
      <c r="G118" s="27"/>
      <c r="H118" s="27"/>
      <c r="I118" s="27"/>
    </row>
    <row r="119" spans="1:9" ht="24.75" thickBot="1">
      <c r="A119" s="24" t="s">
        <v>79</v>
      </c>
      <c r="B119" s="25"/>
      <c r="C119" s="30"/>
      <c r="D119" s="25"/>
      <c r="E119" s="30"/>
      <c r="F119" s="25"/>
      <c r="G119" s="26"/>
      <c r="H119" s="25"/>
      <c r="I119" s="26"/>
    </row>
    <row r="120" spans="1:9">
      <c r="A120" s="29"/>
      <c r="B120" s="27"/>
      <c r="C120" s="29" t="s">
        <v>74</v>
      </c>
      <c r="D120" s="27"/>
      <c r="E120" s="29" t="s">
        <v>75</v>
      </c>
      <c r="F120" s="27"/>
      <c r="G120" s="29" t="s">
        <v>76</v>
      </c>
      <c r="H120" s="27"/>
      <c r="I120" s="29" t="s">
        <v>81</v>
      </c>
    </row>
    <row r="121" spans="1:9" ht="18.75">
      <c r="A121" s="7"/>
    </row>
    <row r="122" spans="1:9" ht="18.75">
      <c r="A122" s="7"/>
    </row>
    <row r="123" spans="1:9" ht="18.75">
      <c r="A123" s="7"/>
    </row>
    <row r="124" spans="1:9" ht="18.75">
      <c r="A124" s="7"/>
    </row>
    <row r="125" spans="1:9" ht="18.75">
      <c r="A125" s="7"/>
    </row>
  </sheetData>
  <mergeCells count="21">
    <mergeCell ref="A110:A111"/>
    <mergeCell ref="C110:C111"/>
    <mergeCell ref="D110:D111"/>
    <mergeCell ref="G30:G31"/>
    <mergeCell ref="H30:H31"/>
    <mergeCell ref="I30:I31"/>
    <mergeCell ref="A100:A104"/>
    <mergeCell ref="B100:B104"/>
    <mergeCell ref="D100:D104"/>
    <mergeCell ref="A30:A31"/>
    <mergeCell ref="B30:B31"/>
    <mergeCell ref="C30:C31"/>
    <mergeCell ref="D30:D31"/>
    <mergeCell ref="E30:E31"/>
    <mergeCell ref="F30:F31"/>
    <mergeCell ref="D20:D24"/>
    <mergeCell ref="E20:F22"/>
    <mergeCell ref="G20:G24"/>
    <mergeCell ref="H20:I23"/>
    <mergeCell ref="E23:E24"/>
    <mergeCell ref="F23:F2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125"/>
  <sheetViews>
    <sheetView topLeftCell="A46" workbookViewId="0">
      <selection activeCell="I54" sqref="I54"/>
    </sheetView>
  </sheetViews>
  <sheetFormatPr defaultRowHeight="15"/>
  <cols>
    <col min="1" max="1" width="10" customWidth="1"/>
    <col min="2" max="2" width="48" customWidth="1"/>
    <col min="4" max="4" width="19.28515625" customWidth="1"/>
    <col min="5" max="5" width="18.140625" customWidth="1"/>
    <col min="6" max="6" width="18.5703125" customWidth="1"/>
    <col min="7" max="7" width="18.85546875" customWidth="1"/>
    <col min="8" max="8" width="23.7109375" customWidth="1"/>
    <col min="9" max="9" width="26.5703125" customWidth="1"/>
  </cols>
  <sheetData>
    <row r="2" spans="1:9" ht="21">
      <c r="H2" s="92" t="s">
        <v>133</v>
      </c>
    </row>
    <row r="3" spans="1:9" ht="15.75">
      <c r="A3" s="1"/>
      <c r="F3" s="1"/>
      <c r="G3" s="1"/>
      <c r="H3" s="1" t="s">
        <v>0</v>
      </c>
      <c r="I3" s="1"/>
    </row>
    <row r="4" spans="1:9" ht="15.75">
      <c r="A4" s="1"/>
      <c r="F4" s="1"/>
      <c r="G4" s="1"/>
      <c r="H4" s="1" t="s">
        <v>1</v>
      </c>
      <c r="I4" s="1"/>
    </row>
    <row r="5" spans="1:9" ht="15.75">
      <c r="A5" s="1"/>
      <c r="F5" s="1"/>
      <c r="G5" s="1"/>
      <c r="H5" s="1" t="s">
        <v>2</v>
      </c>
      <c r="I5" s="1"/>
    </row>
    <row r="6" spans="1:9" ht="15.75">
      <c r="A6" s="1"/>
      <c r="F6" s="1"/>
      <c r="G6" s="1"/>
      <c r="H6" s="1" t="s">
        <v>3</v>
      </c>
      <c r="I6" s="1"/>
    </row>
    <row r="7" spans="1:9" ht="15.75">
      <c r="A7" s="1"/>
      <c r="F7" s="1"/>
      <c r="G7" s="1"/>
      <c r="H7" s="1" t="s">
        <v>4</v>
      </c>
      <c r="I7" s="1"/>
    </row>
    <row r="8" spans="1:9" ht="15.75">
      <c r="A8" s="1"/>
      <c r="F8" s="1"/>
      <c r="G8" s="1"/>
      <c r="H8" s="1" t="s">
        <v>5</v>
      </c>
      <c r="I8" s="1"/>
    </row>
    <row r="9" spans="1:9" ht="15.75">
      <c r="A9" s="1"/>
      <c r="F9" s="1"/>
      <c r="G9" s="1"/>
      <c r="H9" s="1" t="s">
        <v>6</v>
      </c>
      <c r="I9" s="1"/>
    </row>
    <row r="10" spans="1:9" ht="15.75">
      <c r="A10" s="2"/>
      <c r="F10" s="2"/>
      <c r="G10" s="2"/>
      <c r="H10" s="2" t="s">
        <v>7</v>
      </c>
      <c r="I10" s="2"/>
    </row>
    <row r="11" spans="1:9" ht="15.75">
      <c r="A11" s="1"/>
      <c r="F11" s="1"/>
      <c r="G11" s="1"/>
      <c r="H11" s="1" t="s">
        <v>8</v>
      </c>
      <c r="I11" s="1"/>
    </row>
    <row r="12" spans="1:9" ht="15.75">
      <c r="A12" s="4"/>
    </row>
    <row r="13" spans="1:9" ht="18.75">
      <c r="A13" s="5"/>
      <c r="B13" s="49" t="s">
        <v>103</v>
      </c>
      <c r="C13" s="49"/>
      <c r="D13" s="49"/>
      <c r="E13" s="48"/>
    </row>
    <row r="14" spans="1:9" ht="15.75">
      <c r="B14" s="50" t="s">
        <v>100</v>
      </c>
      <c r="C14" s="51"/>
      <c r="D14" s="51"/>
      <c r="E14" s="51"/>
    </row>
    <row r="15" spans="1:9" ht="15.75">
      <c r="A15" s="4"/>
      <c r="B15" s="43"/>
      <c r="C15" s="43"/>
      <c r="D15" s="43"/>
      <c r="E15" s="43"/>
    </row>
    <row r="16" spans="1:9" ht="26.25">
      <c r="A16" s="6"/>
      <c r="B16" s="51" t="s">
        <v>134</v>
      </c>
      <c r="C16" s="43"/>
      <c r="D16" s="43"/>
      <c r="E16" s="43"/>
      <c r="H16" s="52">
        <v>2</v>
      </c>
    </row>
    <row r="17" spans="1:9" ht="15.75">
      <c r="A17" s="4"/>
      <c r="B17" s="43"/>
      <c r="C17" s="43"/>
      <c r="D17" s="43"/>
      <c r="E17" s="43"/>
    </row>
    <row r="18" spans="1:9" ht="15.75">
      <c r="A18" s="4"/>
      <c r="B18" s="4"/>
    </row>
    <row r="19" spans="1:9" ht="19.5" thickBot="1">
      <c r="A19" s="7"/>
    </row>
    <row r="20" spans="1:9" ht="47.25">
      <c r="A20" s="121" t="s">
        <v>10</v>
      </c>
      <c r="B20" s="124" t="s">
        <v>12</v>
      </c>
      <c r="C20" s="124" t="s">
        <v>14</v>
      </c>
      <c r="D20" s="179" t="s">
        <v>19</v>
      </c>
      <c r="E20" s="182" t="s">
        <v>20</v>
      </c>
      <c r="F20" s="183"/>
      <c r="G20" s="182" t="s">
        <v>21</v>
      </c>
      <c r="H20" s="196" t="s">
        <v>20</v>
      </c>
      <c r="I20" s="197"/>
    </row>
    <row r="21" spans="1:9" ht="31.5">
      <c r="A21" s="122" t="s">
        <v>11</v>
      </c>
      <c r="B21" s="125" t="s">
        <v>13</v>
      </c>
      <c r="C21" s="125" t="s">
        <v>15</v>
      </c>
      <c r="D21" s="180"/>
      <c r="E21" s="184"/>
      <c r="F21" s="185"/>
      <c r="G21" s="184"/>
      <c r="H21" s="198"/>
      <c r="I21" s="199"/>
    </row>
    <row r="22" spans="1:9" ht="48" thickBot="1">
      <c r="A22" s="8"/>
      <c r="B22" s="10"/>
      <c r="C22" s="125" t="s">
        <v>16</v>
      </c>
      <c r="D22" s="180"/>
      <c r="E22" s="186"/>
      <c r="F22" s="187"/>
      <c r="G22" s="184"/>
      <c r="H22" s="198"/>
      <c r="I22" s="199"/>
    </row>
    <row r="23" spans="1:9" ht="47.25">
      <c r="A23" s="8"/>
      <c r="B23" s="10"/>
      <c r="C23" s="125" t="s">
        <v>17</v>
      </c>
      <c r="D23" s="180"/>
      <c r="E23" s="189">
        <v>130</v>
      </c>
      <c r="F23" s="189">
        <v>180</v>
      </c>
      <c r="G23" s="184"/>
      <c r="H23" s="200"/>
      <c r="I23" s="201"/>
    </row>
    <row r="24" spans="1:9" ht="32.25" thickBot="1">
      <c r="A24" s="9"/>
      <c r="B24" s="11"/>
      <c r="C24" s="126" t="s">
        <v>18</v>
      </c>
      <c r="D24" s="181"/>
      <c r="E24" s="190"/>
      <c r="F24" s="190"/>
      <c r="G24" s="181"/>
      <c r="H24" s="53">
        <v>130</v>
      </c>
      <c r="I24" s="53">
        <v>180</v>
      </c>
    </row>
    <row r="25" spans="1:9" ht="16.5" thickBot="1">
      <c r="A25" s="123">
        <v>1</v>
      </c>
      <c r="B25" s="126">
        <v>2</v>
      </c>
      <c r="C25" s="126">
        <v>3</v>
      </c>
      <c r="D25" s="126">
        <v>4</v>
      </c>
      <c r="E25" s="126"/>
      <c r="F25" s="126"/>
      <c r="G25" s="126"/>
      <c r="H25" s="126">
        <v>5</v>
      </c>
      <c r="I25" s="126">
        <v>6</v>
      </c>
    </row>
    <row r="26" spans="1:9" ht="19.5" thickBot="1">
      <c r="A26" s="123" t="s">
        <v>24</v>
      </c>
      <c r="B26" s="126" t="s">
        <v>105</v>
      </c>
      <c r="C26" s="126" t="s">
        <v>26</v>
      </c>
      <c r="D26" s="126">
        <f>E26+F26</f>
        <v>1894860</v>
      </c>
      <c r="E26" s="126">
        <v>1594860</v>
      </c>
      <c r="F26" s="126">
        <v>300000</v>
      </c>
      <c r="G26" s="53">
        <f>H26+I26</f>
        <v>1894860</v>
      </c>
      <c r="H26" s="126">
        <v>1594860</v>
      </c>
      <c r="I26" s="126">
        <v>300000</v>
      </c>
    </row>
    <row r="27" spans="1:9" ht="19.5" thickBot="1">
      <c r="A27" s="123"/>
      <c r="B27" s="126" t="s">
        <v>106</v>
      </c>
      <c r="C27" s="126" t="s">
        <v>26</v>
      </c>
      <c r="D27" s="126">
        <v>7525.82</v>
      </c>
      <c r="E27" s="126">
        <v>7525.82</v>
      </c>
      <c r="F27" s="126"/>
      <c r="G27" s="53">
        <v>7525.82</v>
      </c>
      <c r="H27" s="126">
        <v>7525.82</v>
      </c>
      <c r="I27" s="126"/>
    </row>
    <row r="28" spans="1:9" ht="19.5" thickBot="1">
      <c r="A28" s="123"/>
      <c r="B28" s="126" t="s">
        <v>113</v>
      </c>
      <c r="C28" s="126"/>
      <c r="D28" s="126">
        <f>E28+F28</f>
        <v>98680.36</v>
      </c>
      <c r="E28" s="126">
        <v>36553.660000000003</v>
      </c>
      <c r="F28" s="126">
        <v>62126.7</v>
      </c>
      <c r="G28" s="53">
        <f>H28+I28</f>
        <v>98680.36</v>
      </c>
      <c r="H28" s="126">
        <v>36553.660000000003</v>
      </c>
      <c r="I28" s="126">
        <v>62126.7</v>
      </c>
    </row>
    <row r="29" spans="1:9" ht="38.25" customHeight="1" thickBot="1">
      <c r="A29" s="123" t="s">
        <v>27</v>
      </c>
      <c r="B29" s="126" t="s">
        <v>112</v>
      </c>
      <c r="C29" s="126" t="s">
        <v>29</v>
      </c>
      <c r="D29" s="126">
        <f>E29+F29</f>
        <v>106206.18</v>
      </c>
      <c r="E29" s="126">
        <f>E27+E28</f>
        <v>44079.48</v>
      </c>
      <c r="F29" s="126">
        <f>F28</f>
        <v>62126.7</v>
      </c>
      <c r="G29" s="39">
        <f>G27+G28</f>
        <v>106206.18</v>
      </c>
      <c r="H29" s="39">
        <f>H27+H28</f>
        <v>44079.48</v>
      </c>
      <c r="I29" s="39">
        <f>I28</f>
        <v>62126.7</v>
      </c>
    </row>
    <row r="30" spans="1:9" ht="27" customHeight="1">
      <c r="A30" s="179" t="s">
        <v>30</v>
      </c>
      <c r="B30" s="179" t="s">
        <v>132</v>
      </c>
      <c r="C30" s="179" t="s">
        <v>32</v>
      </c>
      <c r="D30" s="179">
        <f>E30+F30</f>
        <v>0</v>
      </c>
      <c r="E30" s="179">
        <v>0</v>
      </c>
      <c r="F30" s="179"/>
      <c r="G30" s="179">
        <f>H30+I30</f>
        <v>1308788.3699999999</v>
      </c>
      <c r="H30" s="179">
        <f>396192.13+192611.07+223448.75+228063.3+12689.92+103776</f>
        <v>1156781.17</v>
      </c>
      <c r="I30" s="179">
        <v>152007.20000000001</v>
      </c>
    </row>
    <row r="31" spans="1:9" ht="24" customHeight="1" thickBot="1">
      <c r="A31" s="181"/>
      <c r="B31" s="181"/>
      <c r="C31" s="181"/>
      <c r="D31" s="181"/>
      <c r="E31" s="181"/>
      <c r="F31" s="181"/>
      <c r="G31" s="180"/>
      <c r="H31" s="181"/>
      <c r="I31" s="181"/>
    </row>
    <row r="32" spans="1:9" ht="47.25" customHeight="1" thickBot="1">
      <c r="A32" s="41" t="s">
        <v>33</v>
      </c>
      <c r="B32" s="38" t="s">
        <v>34</v>
      </c>
      <c r="C32" s="38">
        <v>900</v>
      </c>
      <c r="D32" s="38">
        <f>D34+D39+D46+D49+D50</f>
        <v>9375.83</v>
      </c>
      <c r="E32" s="38">
        <f>E34+E39+E46+E49+E50</f>
        <v>9475.98</v>
      </c>
      <c r="F32" s="97">
        <f>F34+F5039+F46+F49+F50</f>
        <v>-100.15000000000009</v>
      </c>
      <c r="G32" s="98">
        <f t="shared" ref="G32" si="0">H32+I32</f>
        <v>1219483.8400000001</v>
      </c>
      <c r="H32" s="38">
        <f>H34+H39+H46+H49+H50</f>
        <v>1129703.49</v>
      </c>
      <c r="I32" s="38">
        <f>I34+I39+I46+I49+I50</f>
        <v>89780.35</v>
      </c>
    </row>
    <row r="33" spans="1:9" ht="16.5" thickBot="1">
      <c r="A33" s="123"/>
      <c r="B33" s="126" t="s">
        <v>35</v>
      </c>
      <c r="C33" s="126"/>
      <c r="D33" s="126"/>
      <c r="E33" s="126"/>
      <c r="F33" s="93"/>
      <c r="G33" s="95"/>
      <c r="H33" s="126"/>
      <c r="I33" s="126"/>
    </row>
    <row r="34" spans="1:9" ht="32.25" thickBot="1">
      <c r="A34" s="123" t="s">
        <v>36</v>
      </c>
      <c r="B34" s="126" t="s">
        <v>37</v>
      </c>
      <c r="C34" s="13">
        <v>210</v>
      </c>
      <c r="D34" s="13">
        <f>D36+D37+D38</f>
        <v>20</v>
      </c>
      <c r="E34" s="13">
        <f t="shared" ref="E34:F34" si="1">E36+E37+E38</f>
        <v>20</v>
      </c>
      <c r="F34" s="99">
        <f t="shared" si="1"/>
        <v>0</v>
      </c>
      <c r="G34" s="100">
        <f t="shared" ref="G34" si="2">H34+I34</f>
        <v>24595.84</v>
      </c>
      <c r="H34" s="13">
        <f>H36+H37+H38</f>
        <v>24595.84</v>
      </c>
      <c r="I34" s="13">
        <f>I36+I37+I38</f>
        <v>0</v>
      </c>
    </row>
    <row r="35" spans="1:9" ht="16.5" thickBot="1">
      <c r="A35" s="123"/>
      <c r="B35" s="126" t="s">
        <v>38</v>
      </c>
      <c r="C35" s="126"/>
      <c r="D35" s="126"/>
      <c r="E35" s="126"/>
      <c r="F35" s="93"/>
      <c r="G35" s="95"/>
      <c r="H35" s="126"/>
      <c r="I35" s="126"/>
    </row>
    <row r="36" spans="1:9" ht="16.5" thickBot="1">
      <c r="A36" s="123" t="s">
        <v>39</v>
      </c>
      <c r="B36" s="126" t="s">
        <v>40</v>
      </c>
      <c r="C36" s="126">
        <v>211</v>
      </c>
      <c r="D36" s="126">
        <f>E36+F36</f>
        <v>20</v>
      </c>
      <c r="E36" s="126">
        <v>20</v>
      </c>
      <c r="F36" s="93"/>
      <c r="G36" s="95">
        <f t="shared" ref="G36" si="3">H36+I36</f>
        <v>19039.62</v>
      </c>
      <c r="H36" s="126">
        <v>19039.62</v>
      </c>
      <c r="I36" s="126"/>
    </row>
    <row r="37" spans="1:9" ht="16.5" thickBot="1">
      <c r="A37" s="123" t="s">
        <v>41</v>
      </c>
      <c r="B37" s="126" t="s">
        <v>42</v>
      </c>
      <c r="C37" s="126">
        <v>212</v>
      </c>
      <c r="D37" s="126">
        <v>0</v>
      </c>
      <c r="E37" s="126"/>
      <c r="F37" s="93"/>
      <c r="G37" s="95"/>
      <c r="H37" s="126"/>
      <c r="I37" s="126">
        <v>0</v>
      </c>
    </row>
    <row r="38" spans="1:9" ht="16.5" thickBot="1">
      <c r="A38" s="123" t="s">
        <v>43</v>
      </c>
      <c r="B38" s="126" t="s">
        <v>44</v>
      </c>
      <c r="C38" s="126">
        <v>213</v>
      </c>
      <c r="D38" s="126">
        <f>E38+F38</f>
        <v>0</v>
      </c>
      <c r="E38" s="126"/>
      <c r="F38" s="93"/>
      <c r="G38" s="95">
        <f t="shared" ref="G38" si="4">H38+I38</f>
        <v>5556.22</v>
      </c>
      <c r="H38" s="126">
        <v>5556.22</v>
      </c>
      <c r="I38" s="126">
        <v>0</v>
      </c>
    </row>
    <row r="39" spans="1:9" ht="16.5" thickBot="1">
      <c r="A39" s="123" t="s">
        <v>45</v>
      </c>
      <c r="B39" s="126" t="s">
        <v>46</v>
      </c>
      <c r="C39" s="14">
        <v>220</v>
      </c>
      <c r="D39" s="14">
        <f t="shared" ref="D39:I39" si="5">D41+D42+D43+D44+D45</f>
        <v>0</v>
      </c>
      <c r="E39" s="14">
        <f t="shared" si="5"/>
        <v>0</v>
      </c>
      <c r="F39" s="96">
        <f t="shared" si="5"/>
        <v>0</v>
      </c>
      <c r="G39" s="100">
        <f>H39</f>
        <v>25844.67</v>
      </c>
      <c r="H39" s="14">
        <f t="shared" si="5"/>
        <v>25844.67</v>
      </c>
      <c r="I39" s="14">
        <f t="shared" si="5"/>
        <v>0</v>
      </c>
    </row>
    <row r="40" spans="1:9" ht="16.5" thickBot="1">
      <c r="A40" s="123"/>
      <c r="B40" s="126" t="s">
        <v>38</v>
      </c>
      <c r="C40" s="126"/>
      <c r="D40" s="126"/>
      <c r="E40" s="126"/>
      <c r="F40" s="93"/>
      <c r="G40" s="95">
        <f t="shared" ref="G40" si="6">H40+I40</f>
        <v>0</v>
      </c>
      <c r="H40" s="126"/>
      <c r="I40" s="126"/>
    </row>
    <row r="41" spans="1:9" ht="16.5" thickBot="1">
      <c r="A41" s="123" t="s">
        <v>47</v>
      </c>
      <c r="B41" s="126" t="s">
        <v>48</v>
      </c>
      <c r="C41" s="126">
        <v>221</v>
      </c>
      <c r="D41" s="126">
        <v>0</v>
      </c>
      <c r="E41" s="126"/>
      <c r="F41" s="93"/>
      <c r="G41" s="95"/>
      <c r="H41" s="126"/>
      <c r="I41" s="126"/>
    </row>
    <row r="42" spans="1:9" ht="26.25" customHeight="1" thickBot="1">
      <c r="A42" s="123" t="s">
        <v>49</v>
      </c>
      <c r="B42" s="126" t="s">
        <v>50</v>
      </c>
      <c r="C42" s="126">
        <v>222</v>
      </c>
      <c r="D42" s="126">
        <v>0</v>
      </c>
      <c r="E42" s="126"/>
      <c r="F42" s="93"/>
      <c r="G42" s="95">
        <f t="shared" ref="G42" si="7">H42+I42</f>
        <v>0</v>
      </c>
      <c r="H42" s="126"/>
      <c r="I42" s="126"/>
    </row>
    <row r="43" spans="1:9" ht="29.25" customHeight="1" thickBot="1">
      <c r="A43" s="123" t="s">
        <v>51</v>
      </c>
      <c r="B43" s="126" t="s">
        <v>52</v>
      </c>
      <c r="C43" s="126">
        <v>223</v>
      </c>
      <c r="D43" s="126">
        <v>0</v>
      </c>
      <c r="E43" s="126"/>
      <c r="F43" s="93"/>
      <c r="G43" s="95"/>
      <c r="H43" s="126"/>
      <c r="I43" s="126"/>
    </row>
    <row r="44" spans="1:9" ht="16.5" thickBot="1">
      <c r="A44" s="123" t="s">
        <v>53</v>
      </c>
      <c r="B44" s="126" t="s">
        <v>54</v>
      </c>
      <c r="C44" s="126">
        <v>225</v>
      </c>
      <c r="D44" s="126">
        <v>0</v>
      </c>
      <c r="E44" s="126"/>
      <c r="F44" s="93"/>
      <c r="G44" s="95">
        <f t="shared" ref="G44" si="8">H44+I44</f>
        <v>0</v>
      </c>
      <c r="H44" s="126"/>
      <c r="I44" s="126">
        <v>0</v>
      </c>
    </row>
    <row r="45" spans="1:9" ht="30" customHeight="1" thickBot="1">
      <c r="A45" s="123" t="s">
        <v>55</v>
      </c>
      <c r="B45" s="126" t="s">
        <v>56</v>
      </c>
      <c r="C45" s="126">
        <v>226</v>
      </c>
      <c r="D45" s="126">
        <f>E45+F45</f>
        <v>0</v>
      </c>
      <c r="E45" s="126"/>
      <c r="F45" s="93"/>
      <c r="G45" s="95">
        <f>H45</f>
        <v>25844.67</v>
      </c>
      <c r="H45" s="126">
        <v>25844.67</v>
      </c>
      <c r="I45" s="126">
        <v>0</v>
      </c>
    </row>
    <row r="46" spans="1:9" ht="16.5" thickBot="1">
      <c r="A46" s="123" t="s">
        <v>57</v>
      </c>
      <c r="B46" s="126" t="s">
        <v>58</v>
      </c>
      <c r="C46" s="14">
        <v>260</v>
      </c>
      <c r="D46" s="14">
        <f t="shared" ref="D46:I46" si="9">D48</f>
        <v>0</v>
      </c>
      <c r="E46" s="14">
        <f t="shared" si="9"/>
        <v>0</v>
      </c>
      <c r="F46" s="96">
        <f t="shared" si="9"/>
        <v>0</v>
      </c>
      <c r="G46" s="100">
        <f t="shared" ref="G46" si="10">H46+I46</f>
        <v>0</v>
      </c>
      <c r="H46" s="14">
        <f t="shared" si="9"/>
        <v>0</v>
      </c>
      <c r="I46" s="14">
        <f t="shared" si="9"/>
        <v>0</v>
      </c>
    </row>
    <row r="47" spans="1:9" ht="16.5" thickBot="1">
      <c r="A47" s="123"/>
      <c r="B47" s="126" t="s">
        <v>38</v>
      </c>
      <c r="C47" s="126"/>
      <c r="D47" s="126"/>
      <c r="E47" s="126"/>
      <c r="F47" s="93"/>
      <c r="G47" s="95"/>
      <c r="H47" s="126"/>
      <c r="I47" s="126"/>
    </row>
    <row r="48" spans="1:9" ht="16.5" thickBot="1">
      <c r="A48" s="123" t="s">
        <v>59</v>
      </c>
      <c r="B48" s="126" t="s">
        <v>60</v>
      </c>
      <c r="C48" s="126">
        <v>262</v>
      </c>
      <c r="D48" s="126"/>
      <c r="E48" s="126"/>
      <c r="F48" s="93"/>
      <c r="G48" s="95">
        <f t="shared" ref="G48" si="11">H48+I48</f>
        <v>0</v>
      </c>
      <c r="H48" s="126"/>
      <c r="I48" s="126">
        <v>0</v>
      </c>
    </row>
    <row r="49" spans="1:9" ht="38.25" customHeight="1" thickBot="1">
      <c r="A49" s="123" t="s">
        <v>61</v>
      </c>
      <c r="B49" s="126" t="s">
        <v>62</v>
      </c>
      <c r="C49" s="14">
        <v>290</v>
      </c>
      <c r="D49" s="14">
        <f>E49</f>
        <v>0</v>
      </c>
      <c r="E49" s="14">
        <v>0</v>
      </c>
      <c r="F49" s="96">
        <v>0</v>
      </c>
      <c r="G49" s="101">
        <f>H49</f>
        <v>7197</v>
      </c>
      <c r="H49" s="14">
        <f>4909+2288</f>
        <v>7197</v>
      </c>
      <c r="I49" s="14">
        <v>0</v>
      </c>
    </row>
    <row r="50" spans="1:9" ht="33" customHeight="1" thickBot="1">
      <c r="A50" s="123" t="s">
        <v>63</v>
      </c>
      <c r="B50" s="126" t="s">
        <v>64</v>
      </c>
      <c r="C50" s="14">
        <v>300</v>
      </c>
      <c r="D50" s="14">
        <f>E50+F50</f>
        <v>9355.83</v>
      </c>
      <c r="E50" s="14">
        <f t="shared" ref="E50:I50" si="12">E52+E53</f>
        <v>9455.98</v>
      </c>
      <c r="F50" s="96">
        <f t="shared" si="12"/>
        <v>-100.15000000000009</v>
      </c>
      <c r="G50" s="101">
        <f t="shared" ref="G50" si="13">H50+I50</f>
        <v>1161846.33</v>
      </c>
      <c r="H50" s="14">
        <f t="shared" si="12"/>
        <v>1072065.98</v>
      </c>
      <c r="I50" s="14">
        <f t="shared" si="12"/>
        <v>89780.35</v>
      </c>
    </row>
    <row r="51" spans="1:9" ht="16.5" thickBot="1">
      <c r="A51" s="123"/>
      <c r="B51" s="126" t="s">
        <v>38</v>
      </c>
      <c r="C51" s="126"/>
      <c r="D51" s="126"/>
      <c r="E51" s="126"/>
      <c r="F51" s="93"/>
      <c r="G51" s="102"/>
      <c r="H51" s="126"/>
      <c r="I51" s="126"/>
    </row>
    <row r="52" spans="1:9" ht="16.5" thickBot="1">
      <c r="A52" s="123" t="s">
        <v>65</v>
      </c>
      <c r="B52" s="126" t="s">
        <v>66</v>
      </c>
      <c r="C52" s="126">
        <v>310</v>
      </c>
      <c r="D52" s="126">
        <f>E52+F52</f>
        <v>-2000</v>
      </c>
      <c r="E52" s="126">
        <v>0</v>
      </c>
      <c r="F52" s="135">
        <v>-2000</v>
      </c>
      <c r="G52" s="102">
        <f>H52+I52</f>
        <v>154055</v>
      </c>
      <c r="H52" s="126">
        <v>140055</v>
      </c>
      <c r="I52" s="126">
        <v>14000</v>
      </c>
    </row>
    <row r="53" spans="1:9" ht="16.5" thickBot="1">
      <c r="A53" s="123" t="s">
        <v>67</v>
      </c>
      <c r="B53" s="126" t="s">
        <v>68</v>
      </c>
      <c r="C53" s="126">
        <v>340</v>
      </c>
      <c r="D53" s="126">
        <f>E53+F53</f>
        <v>11355.83</v>
      </c>
      <c r="E53" s="126">
        <v>9455.98</v>
      </c>
      <c r="F53" s="93">
        <v>1899.85</v>
      </c>
      <c r="G53" s="102">
        <f>H53+I53</f>
        <v>1007791.33</v>
      </c>
      <c r="H53" s="126">
        <v>932010.98</v>
      </c>
      <c r="I53" s="126">
        <v>75780.350000000006</v>
      </c>
    </row>
    <row r="54" spans="1:9" ht="32.25" thickBot="1">
      <c r="A54" s="15" t="s">
        <v>69</v>
      </c>
      <c r="B54" s="16" t="s">
        <v>70</v>
      </c>
      <c r="C54" s="16" t="s">
        <v>26</v>
      </c>
      <c r="D54" s="120">
        <f>D29+D30-D32</f>
        <v>96830.349999999991</v>
      </c>
      <c r="E54" s="120">
        <f>E29+E30-E32</f>
        <v>34603.5</v>
      </c>
      <c r="F54" s="120">
        <f>F29+F30-F32</f>
        <v>62226.85</v>
      </c>
      <c r="G54" s="120">
        <f>G30-G32+G27</f>
        <v>96830.349999999802</v>
      </c>
      <c r="H54" s="120">
        <f>H30-H32+H27</f>
        <v>34603.499999999935</v>
      </c>
      <c r="I54" s="120">
        <f>I30-I32</f>
        <v>62226.850000000006</v>
      </c>
    </row>
    <row r="55" spans="1:9" ht="18.75">
      <c r="A55" s="23"/>
    </row>
    <row r="56" spans="1:9" ht="60.75" thickBot="1">
      <c r="A56" s="24" t="s">
        <v>71</v>
      </c>
      <c r="B56" s="25"/>
      <c r="C56" s="26" t="s">
        <v>72</v>
      </c>
      <c r="D56" s="25"/>
      <c r="E56" s="26"/>
      <c r="F56" s="25"/>
      <c r="G56" s="26" t="s">
        <v>73</v>
      </c>
      <c r="H56" s="25"/>
      <c r="I56" s="25"/>
    </row>
    <row r="57" spans="1:9">
      <c r="A57" s="27"/>
      <c r="B57" s="27"/>
      <c r="C57" s="28" t="s">
        <v>74</v>
      </c>
      <c r="D57" s="27"/>
      <c r="E57" s="28" t="s">
        <v>75</v>
      </c>
      <c r="F57" s="27"/>
      <c r="G57" s="28" t="s">
        <v>76</v>
      </c>
      <c r="H57" s="29"/>
      <c r="I57" s="29"/>
    </row>
    <row r="58" spans="1:9" ht="24.75" thickBot="1">
      <c r="A58" s="24" t="s">
        <v>77</v>
      </c>
      <c r="B58" s="25"/>
      <c r="C58" s="26"/>
      <c r="D58" s="25"/>
      <c r="E58" s="26" t="s">
        <v>78</v>
      </c>
      <c r="F58" s="25"/>
      <c r="G58" s="25"/>
      <c r="H58" s="25"/>
      <c r="I58" s="25"/>
    </row>
    <row r="59" spans="1:9">
      <c r="A59" s="29"/>
      <c r="B59" s="27"/>
      <c r="C59" s="29" t="s">
        <v>75</v>
      </c>
      <c r="D59" s="27"/>
      <c r="E59" s="29" t="s">
        <v>76</v>
      </c>
      <c r="F59" s="27"/>
      <c r="G59" s="27"/>
      <c r="H59" s="27"/>
      <c r="I59" s="27"/>
    </row>
    <row r="60" spans="1:9" ht="24.75" thickBot="1">
      <c r="A60" s="24" t="s">
        <v>79</v>
      </c>
      <c r="B60" s="25"/>
      <c r="C60" s="30" t="s">
        <v>77</v>
      </c>
      <c r="D60" s="25"/>
      <c r="E60" s="30"/>
      <c r="F60" s="25"/>
      <c r="G60" s="26" t="s">
        <v>78</v>
      </c>
      <c r="H60" s="25"/>
      <c r="I60" s="26" t="s">
        <v>80</v>
      </c>
    </row>
    <row r="61" spans="1:9">
      <c r="A61" s="29"/>
      <c r="B61" s="27"/>
      <c r="C61" s="29" t="s">
        <v>74</v>
      </c>
      <c r="D61" s="27"/>
      <c r="E61" s="29" t="s">
        <v>75</v>
      </c>
      <c r="F61" s="27"/>
      <c r="G61" s="29" t="s">
        <v>76</v>
      </c>
      <c r="H61" s="27"/>
      <c r="I61" s="29" t="s">
        <v>81</v>
      </c>
    </row>
    <row r="62" spans="1:9" ht="18.75">
      <c r="A62" s="7"/>
    </row>
    <row r="63" spans="1:9" ht="18.75">
      <c r="A63" s="7"/>
    </row>
    <row r="64" spans="1:9" ht="18.75">
      <c r="A64" s="7"/>
    </row>
    <row r="65" spans="1:1" ht="18.75">
      <c r="A65" s="7"/>
    </row>
    <row r="66" spans="1:1" ht="18.75">
      <c r="A66" s="7"/>
    </row>
    <row r="67" spans="1:1" ht="18.75">
      <c r="A67" s="7"/>
    </row>
    <row r="68" spans="1:1" ht="18.75">
      <c r="A68" s="7"/>
    </row>
    <row r="69" spans="1:1" ht="18.75">
      <c r="A69" s="7"/>
    </row>
    <row r="70" spans="1:1" ht="18.75">
      <c r="A70" s="7"/>
    </row>
    <row r="71" spans="1:1" ht="18.75">
      <c r="A71" s="7"/>
    </row>
    <row r="72" spans="1:1" ht="18.75">
      <c r="A72" s="7"/>
    </row>
    <row r="73" spans="1:1" ht="18.75">
      <c r="A73" s="7"/>
    </row>
    <row r="74" spans="1:1" ht="18.75">
      <c r="A74" s="7"/>
    </row>
    <row r="75" spans="1:1" ht="18.75">
      <c r="A75" s="7"/>
    </row>
    <row r="76" spans="1:1" ht="18.75">
      <c r="A76" s="7"/>
    </row>
    <row r="77" spans="1:1" ht="18.75">
      <c r="A77" s="7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1"/>
    </row>
    <row r="85" spans="1:1" ht="15.75">
      <c r="A85" s="1"/>
    </row>
    <row r="86" spans="1:1" ht="15.75">
      <c r="A86" s="2" t="s">
        <v>7</v>
      </c>
    </row>
    <row r="87" spans="1:1" ht="15.75">
      <c r="A87" s="1" t="s">
        <v>83</v>
      </c>
    </row>
    <row r="88" spans="1:1" ht="18.75">
      <c r="A88" s="31"/>
    </row>
    <row r="89" spans="1:1" ht="15.75">
      <c r="A89" s="5" t="s">
        <v>84</v>
      </c>
    </row>
    <row r="90" spans="1:1" ht="15.75">
      <c r="A90" s="5" t="s">
        <v>85</v>
      </c>
    </row>
    <row r="91" spans="1:1" ht="15.75">
      <c r="A91" s="5" t="s">
        <v>86</v>
      </c>
    </row>
    <row r="92" spans="1:1" ht="15.75">
      <c r="A92" s="4"/>
    </row>
    <row r="93" spans="1:1" ht="15.75">
      <c r="A93" s="4"/>
    </row>
    <row r="94" spans="1:1" ht="15.75">
      <c r="A94" s="4" t="s">
        <v>9</v>
      </c>
    </row>
    <row r="95" spans="1:1" ht="18.75">
      <c r="A95" s="6"/>
    </row>
    <row r="96" spans="1:1" ht="15.75">
      <c r="A96" s="4" t="s">
        <v>87</v>
      </c>
    </row>
    <row r="97" spans="1:4" ht="15.75">
      <c r="A97" s="4"/>
    </row>
    <row r="98" spans="1:4" ht="18.75">
      <c r="A98" s="7"/>
    </row>
    <row r="99" spans="1:4" ht="16.5" thickBot="1">
      <c r="A99" s="4"/>
    </row>
    <row r="100" spans="1:4" ht="47.25">
      <c r="A100" s="191" t="s">
        <v>88</v>
      </c>
      <c r="B100" s="191" t="s">
        <v>89</v>
      </c>
      <c r="C100" s="32" t="s">
        <v>14</v>
      </c>
      <c r="D100" s="191" t="s">
        <v>92</v>
      </c>
    </row>
    <row r="101" spans="1:4" ht="31.5">
      <c r="A101" s="192"/>
      <c r="B101" s="192"/>
      <c r="C101" s="33" t="s">
        <v>90</v>
      </c>
      <c r="D101" s="192"/>
    </row>
    <row r="102" spans="1:4" ht="47.25">
      <c r="A102" s="192"/>
      <c r="B102" s="192"/>
      <c r="C102" s="33" t="s">
        <v>16</v>
      </c>
      <c r="D102" s="192"/>
    </row>
    <row r="103" spans="1:4" ht="47.25">
      <c r="A103" s="192"/>
      <c r="B103" s="192"/>
      <c r="C103" s="33" t="s">
        <v>17</v>
      </c>
      <c r="D103" s="192"/>
    </row>
    <row r="104" spans="1:4" ht="32.25" thickBot="1">
      <c r="A104" s="193"/>
      <c r="B104" s="193"/>
      <c r="C104" s="34" t="s">
        <v>91</v>
      </c>
      <c r="D104" s="193"/>
    </row>
    <row r="105" spans="1:4" ht="16.5" thickBot="1">
      <c r="A105" s="127">
        <v>1</v>
      </c>
      <c r="B105" s="34">
        <v>2</v>
      </c>
      <c r="C105" s="34">
        <v>3</v>
      </c>
      <c r="D105" s="34">
        <v>4</v>
      </c>
    </row>
    <row r="106" spans="1:4" ht="16.5" thickBot="1">
      <c r="A106" s="127" t="s">
        <v>24</v>
      </c>
      <c r="B106" s="126"/>
      <c r="C106" s="126"/>
      <c r="D106" s="35"/>
    </row>
    <row r="107" spans="1:4" ht="16.5" thickBot="1">
      <c r="A107" s="127" t="s">
        <v>93</v>
      </c>
      <c r="B107" s="126"/>
      <c r="C107" s="126"/>
      <c r="D107" s="35"/>
    </row>
    <row r="108" spans="1:4" ht="16.5" thickBot="1">
      <c r="A108" s="127" t="s">
        <v>94</v>
      </c>
      <c r="B108" s="126"/>
      <c r="C108" s="34"/>
      <c r="D108" s="35"/>
    </row>
    <row r="109" spans="1:4" ht="16.5" thickBot="1">
      <c r="A109" s="127"/>
      <c r="B109" s="126" t="s">
        <v>95</v>
      </c>
      <c r="C109" s="34"/>
      <c r="D109" s="35"/>
    </row>
    <row r="110" spans="1:4" ht="15.75">
      <c r="A110" s="191" t="s">
        <v>96</v>
      </c>
      <c r="B110" s="125" t="s">
        <v>97</v>
      </c>
      <c r="C110" s="191"/>
      <c r="D110" s="194"/>
    </row>
    <row r="111" spans="1:4" ht="16.5" thickBot="1">
      <c r="A111" s="193"/>
      <c r="B111" s="126" t="s">
        <v>98</v>
      </c>
      <c r="C111" s="193"/>
      <c r="D111" s="195"/>
    </row>
    <row r="112" spans="1:4" ht="15.75">
      <c r="A112" s="3"/>
    </row>
    <row r="113" spans="1:9" ht="15.75">
      <c r="A113" s="3"/>
    </row>
    <row r="114" spans="1:9" ht="15.75">
      <c r="A114" s="3"/>
    </row>
    <row r="115" spans="1:9" ht="60.75" thickBot="1">
      <c r="A115" s="37" t="s">
        <v>99</v>
      </c>
      <c r="B115" s="25"/>
      <c r="C115" s="26"/>
      <c r="D115" s="25"/>
      <c r="E115" s="26"/>
      <c r="F115" s="25"/>
      <c r="G115" s="26"/>
      <c r="H115" s="25"/>
      <c r="I115" s="25"/>
    </row>
    <row r="116" spans="1:9">
      <c r="A116" s="27"/>
      <c r="B116" s="27"/>
      <c r="C116" s="28" t="s">
        <v>74</v>
      </c>
      <c r="D116" s="27"/>
      <c r="E116" s="28" t="s">
        <v>75</v>
      </c>
      <c r="F116" s="27"/>
      <c r="G116" s="28" t="s">
        <v>76</v>
      </c>
      <c r="H116" s="29"/>
      <c r="I116" s="29"/>
    </row>
    <row r="117" spans="1:9" ht="24.75" thickBot="1">
      <c r="A117" s="24" t="s">
        <v>77</v>
      </c>
      <c r="B117" s="25"/>
      <c r="C117" s="26"/>
      <c r="D117" s="25"/>
      <c r="E117" s="26"/>
      <c r="F117" s="25"/>
      <c r="G117" s="25"/>
      <c r="H117" s="25"/>
      <c r="I117" s="25"/>
    </row>
    <row r="118" spans="1:9">
      <c r="A118" s="29"/>
      <c r="B118" s="27"/>
      <c r="C118" s="29" t="s">
        <v>75</v>
      </c>
      <c r="D118" s="27"/>
      <c r="E118" s="29" t="s">
        <v>76</v>
      </c>
      <c r="F118" s="27"/>
      <c r="G118" s="27"/>
      <c r="H118" s="27"/>
      <c r="I118" s="27"/>
    </row>
    <row r="119" spans="1:9" ht="24.75" thickBot="1">
      <c r="A119" s="24" t="s">
        <v>79</v>
      </c>
      <c r="B119" s="25"/>
      <c r="C119" s="30"/>
      <c r="D119" s="25"/>
      <c r="E119" s="30"/>
      <c r="F119" s="25"/>
      <c r="G119" s="26"/>
      <c r="H119" s="25"/>
      <c r="I119" s="26"/>
    </row>
    <row r="120" spans="1:9">
      <c r="A120" s="29"/>
      <c r="B120" s="27"/>
      <c r="C120" s="29" t="s">
        <v>74</v>
      </c>
      <c r="D120" s="27"/>
      <c r="E120" s="29" t="s">
        <v>75</v>
      </c>
      <c r="F120" s="27"/>
      <c r="G120" s="29" t="s">
        <v>76</v>
      </c>
      <c r="H120" s="27"/>
      <c r="I120" s="29" t="s">
        <v>81</v>
      </c>
    </row>
    <row r="121" spans="1:9" ht="18.75">
      <c r="A121" s="7"/>
    </row>
    <row r="122" spans="1:9" ht="18.75">
      <c r="A122" s="7"/>
    </row>
    <row r="123" spans="1:9" ht="18.75">
      <c r="A123" s="7"/>
    </row>
    <row r="124" spans="1:9" ht="18.75">
      <c r="A124" s="7"/>
    </row>
    <row r="125" spans="1:9" ht="18.75">
      <c r="A125" s="7"/>
    </row>
  </sheetData>
  <mergeCells count="21">
    <mergeCell ref="D20:D24"/>
    <mergeCell ref="E20:F22"/>
    <mergeCell ref="G20:G24"/>
    <mergeCell ref="H20:I23"/>
    <mergeCell ref="E23:E24"/>
    <mergeCell ref="F23:F24"/>
    <mergeCell ref="I30:I31"/>
    <mergeCell ref="A100:A104"/>
    <mergeCell ref="B100:B104"/>
    <mergeCell ref="D100:D104"/>
    <mergeCell ref="A30:A31"/>
    <mergeCell ref="B30:B31"/>
    <mergeCell ref="C30:C31"/>
    <mergeCell ref="D30:D31"/>
    <mergeCell ref="E30:E31"/>
    <mergeCell ref="F30:F31"/>
    <mergeCell ref="A110:A111"/>
    <mergeCell ref="C110:C111"/>
    <mergeCell ref="D110:D111"/>
    <mergeCell ref="G30:G31"/>
    <mergeCell ref="H30:H3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отчет по 2 за январь </vt:lpstr>
      <vt:lpstr>отчет по 2 за февраль </vt:lpstr>
      <vt:lpstr>отчет по 2 за март</vt:lpstr>
      <vt:lpstr>отчет по 2 за апрель</vt:lpstr>
      <vt:lpstr>отчет по 2 за май</vt:lpstr>
      <vt:lpstr>отчет по 2 за июнь</vt:lpstr>
      <vt:lpstr>отчет по 2 за июль </vt:lpstr>
      <vt:lpstr>отчет по 2 за август</vt:lpstr>
      <vt:lpstr>отчет по 2 за сентябрь</vt:lpstr>
      <vt:lpstr>отчет по 2 за октябрь</vt:lpstr>
      <vt:lpstr>отчет по 2 за ноябрь</vt:lpstr>
      <vt:lpstr>отчет по 4 за январь 13г</vt:lpstr>
      <vt:lpstr>отчет по 4 за февраль 13г </vt:lpstr>
      <vt:lpstr>отчет по 4 за март 13г </vt:lpstr>
      <vt:lpstr>отчет по 4 за апрель 13г</vt:lpstr>
      <vt:lpstr>отчет по 4 за май 13г </vt:lpstr>
      <vt:lpstr>отчет по 4 за июнь 13г </vt:lpstr>
      <vt:lpstr>отчет по 4 за июль 13г</vt:lpstr>
      <vt:lpstr>отчет по 4 за август 13г</vt:lpstr>
      <vt:lpstr>отчет по 4 за сентябрь 13г </vt:lpstr>
      <vt:lpstr>отчет по 4 за октябрь 13г  </vt:lpstr>
      <vt:lpstr>отчет по 4 за ноябрь 13г</vt:lpstr>
      <vt:lpstr>отчет по 4 за декабрь 13г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Admin</cp:lastModifiedBy>
  <cp:lastPrinted>2014-02-05T01:00:10Z</cp:lastPrinted>
  <dcterms:created xsi:type="dcterms:W3CDTF">2012-05-14T07:23:22Z</dcterms:created>
  <dcterms:modified xsi:type="dcterms:W3CDTF">2014-02-05T01:00:12Z</dcterms:modified>
</cp:coreProperties>
</file>